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0730" windowHeight="11760" activeTab="2"/>
  </bookViews>
  <sheets>
    <sheet name="scenarios" sheetId="2" r:id="rId1"/>
    <sheet name="Demand charges" sheetId="4" r:id="rId2"/>
    <sheet name="EC" sheetId="5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5" l="1"/>
  <c r="T16" i="4"/>
  <c r="P16" i="4"/>
  <c r="F16" i="4"/>
  <c r="Q15" i="4"/>
  <c r="Q17" i="4"/>
  <c r="Q14" i="4"/>
  <c r="P15" i="4"/>
  <c r="J10" i="5"/>
  <c r="Q13" i="4"/>
  <c r="R13" i="4" s="1"/>
  <c r="T13" i="4" s="1"/>
  <c r="P13" i="4"/>
  <c r="P12" i="4"/>
  <c r="Q12" i="4" s="1"/>
  <c r="R12" i="4" s="1"/>
  <c r="F13" i="4"/>
  <c r="J9" i="5"/>
  <c r="F12" i="4"/>
  <c r="D12" i="4"/>
  <c r="J8" i="5"/>
  <c r="P10" i="4"/>
  <c r="Q10" i="4" s="1"/>
  <c r="J7" i="5"/>
  <c r="R9" i="4"/>
  <c r="Q7" i="4"/>
  <c r="Q8" i="4"/>
  <c r="Q9" i="4"/>
  <c r="J5" i="5" l="1"/>
  <c r="J15" i="5"/>
  <c r="E16" i="5"/>
  <c r="R6" i="4"/>
  <c r="P6" i="4"/>
  <c r="E23" i="5"/>
  <c r="E22" i="5"/>
  <c r="E21" i="5"/>
  <c r="R5" i="4" l="1"/>
  <c r="P5" i="4"/>
  <c r="Q5" i="4"/>
  <c r="Q4" i="4"/>
  <c r="R4" i="4" s="1"/>
  <c r="P4" i="4"/>
  <c r="Q6" i="4"/>
  <c r="P7" i="4"/>
  <c r="P8" i="4"/>
  <c r="P9" i="4"/>
  <c r="P11" i="4"/>
  <c r="P14" i="4"/>
  <c r="Q16" i="4"/>
  <c r="R16" i="4" s="1"/>
  <c r="R7" i="4"/>
  <c r="R8" i="4"/>
  <c r="R10" i="4"/>
  <c r="Q11" i="4"/>
  <c r="T12" i="4"/>
  <c r="R15" i="4"/>
  <c r="T9" i="4"/>
  <c r="R11" i="4"/>
  <c r="R14" i="4"/>
  <c r="J13" i="5"/>
  <c r="E3" i="5"/>
  <c r="I3" i="5" s="1"/>
  <c r="E4" i="5"/>
  <c r="E5" i="5"/>
  <c r="E6" i="5"/>
  <c r="E7" i="5"/>
  <c r="E8" i="5"/>
  <c r="E9" i="5"/>
  <c r="E10" i="5"/>
  <c r="E11" i="5"/>
  <c r="E12" i="5"/>
  <c r="E13" i="5"/>
  <c r="E14" i="5"/>
  <c r="E15" i="5"/>
  <c r="E2" i="5"/>
  <c r="I6" i="5" l="1"/>
  <c r="H6" i="5"/>
  <c r="J6" i="5" s="1"/>
  <c r="I5" i="5"/>
  <c r="H5" i="5"/>
  <c r="E24" i="5"/>
  <c r="H3" i="5"/>
  <c r="B14" i="4"/>
  <c r="B11" i="4"/>
  <c r="I7" i="5"/>
  <c r="D4" i="4"/>
  <c r="D6" i="4"/>
  <c r="D7" i="4"/>
  <c r="D8" i="4"/>
  <c r="D9" i="4"/>
  <c r="D10" i="4"/>
  <c r="D11" i="4"/>
  <c r="D13" i="4"/>
  <c r="D14" i="4"/>
  <c r="D15" i="4"/>
  <c r="D16" i="4"/>
  <c r="D5" i="4"/>
  <c r="N11" i="4"/>
  <c r="N14" i="4"/>
  <c r="T11" i="4"/>
  <c r="U12" i="4"/>
  <c r="U13" i="4"/>
  <c r="T14" i="4"/>
  <c r="U16" i="4"/>
  <c r="U10" i="4"/>
  <c r="U5" i="4"/>
  <c r="U6" i="4"/>
  <c r="U9" i="4"/>
  <c r="U4" i="4"/>
  <c r="J3" i="5" l="1"/>
  <c r="U11" i="4"/>
  <c r="T8" i="4"/>
  <c r="T4" i="4"/>
  <c r="T15" i="4"/>
  <c r="T7" i="4"/>
  <c r="U15" i="4"/>
  <c r="U14" i="4"/>
  <c r="U7" i="4"/>
  <c r="T6" i="4"/>
  <c r="T5" i="4"/>
  <c r="T10" i="4"/>
  <c r="U8" i="4"/>
  <c r="G4" i="4"/>
  <c r="F4" i="4"/>
  <c r="G16" i="4"/>
  <c r="G14" i="4"/>
  <c r="G15" i="4"/>
  <c r="F15" i="4"/>
  <c r="G13" i="4"/>
  <c r="F11" i="4" l="1"/>
  <c r="F14" i="4"/>
  <c r="G11" i="4"/>
  <c r="G12" i="4"/>
  <c r="G10" i="4"/>
  <c r="F10" i="4"/>
  <c r="G9" i="4"/>
  <c r="F9" i="4"/>
  <c r="F8" i="4"/>
  <c r="H15" i="5"/>
  <c r="H16" i="5"/>
  <c r="J16" i="5" s="1"/>
  <c r="H14" i="5"/>
  <c r="J14" i="5" s="1"/>
  <c r="G7" i="4"/>
  <c r="G8" i="4"/>
  <c r="F7" i="4"/>
  <c r="G6" i="4"/>
  <c r="F6" i="4"/>
  <c r="G5" i="4"/>
  <c r="F5" i="4"/>
  <c r="H13" i="5"/>
  <c r="H12" i="5"/>
  <c r="H11" i="5"/>
  <c r="J11" i="5" s="1"/>
  <c r="H10" i="5" l="1"/>
  <c r="H9" i="5"/>
  <c r="H8" i="5" l="1"/>
  <c r="I8" i="5"/>
  <c r="H7" i="5"/>
  <c r="I4" i="5"/>
  <c r="H4" i="5"/>
  <c r="H2" i="5"/>
  <c r="J2" i="5" s="1"/>
  <c r="J4" i="5" l="1"/>
  <c r="J21" i="2"/>
  <c r="I20" i="2"/>
  <c r="J20" i="2" s="1"/>
  <c r="J11" i="2"/>
  <c r="J49" i="2" l="1"/>
  <c r="I49" i="2"/>
  <c r="J47" i="2"/>
  <c r="I47" i="2"/>
  <c r="M41" i="2"/>
  <c r="N32" i="2" l="1"/>
  <c r="M32" i="2"/>
  <c r="M31" i="2"/>
  <c r="M30" i="2"/>
  <c r="M12" i="2"/>
  <c r="L12" i="2"/>
  <c r="M14" i="2"/>
  <c r="L14" i="2"/>
  <c r="L11" i="2"/>
  <c r="L10" i="2"/>
  <c r="F50" i="2" l="1"/>
  <c r="F52" i="2" s="1"/>
  <c r="F42" i="2"/>
  <c r="F43" i="2" s="1"/>
  <c r="F34" i="2"/>
  <c r="F35" i="2" s="1"/>
  <c r="F36" i="2" s="1"/>
  <c r="F44" i="2"/>
  <c r="F26" i="2"/>
  <c r="F25" i="2"/>
  <c r="F24" i="2"/>
  <c r="F19" i="2"/>
  <c r="F18" i="2"/>
  <c r="F12" i="2"/>
  <c r="F13" i="2" s="1"/>
  <c r="F53" i="2" l="1"/>
  <c r="F51" i="2"/>
</calcChain>
</file>

<file path=xl/sharedStrings.xml><?xml version="1.0" encoding="utf-8"?>
<sst xmlns="http://schemas.openxmlformats.org/spreadsheetml/2006/main" count="166" uniqueCount="90">
  <si>
    <t>RD</t>
  </si>
  <si>
    <t>CD</t>
  </si>
  <si>
    <t>RD &lt;85% OF CD THEN CALC DC ON 85% OF CD</t>
  </si>
  <si>
    <t>Scenario - 1</t>
  </si>
  <si>
    <t>Scenario - 2</t>
  </si>
  <si>
    <t>RD&gt;85% OF CD AND RD&lt;CD</t>
  </si>
  <si>
    <t>85% OF CD</t>
  </si>
  <si>
    <t>DEMAND CHARGES</t>
  </si>
  <si>
    <t>Scenario - 3</t>
  </si>
  <si>
    <t>RD&gt;85% OF CD AND RD&gt;CD</t>
  </si>
  <si>
    <t>MD PENALTY</t>
  </si>
  <si>
    <t>HT DEMAND AND PENALTY CHARGES CALCULATION</t>
  </si>
  <si>
    <t>DEMAND CUT</t>
  </si>
  <si>
    <t>CD AFTER DEMAND CUT</t>
  </si>
  <si>
    <t>85% OF CD AFTER DEMAND CUT</t>
  </si>
  <si>
    <t>HT DEMAND AND PENALTY CHARGES CALCULATION WITH DEMAND CUT ( MAX 60%)</t>
  </si>
  <si>
    <t>PEN</t>
  </si>
  <si>
    <t>ACCOUNT ID</t>
  </si>
  <si>
    <t>FC</t>
  </si>
  <si>
    <t>EC</t>
  </si>
  <si>
    <t>Sanction Load</t>
  </si>
  <si>
    <t>Units</t>
  </si>
  <si>
    <t>prvs reading date</t>
  </si>
  <si>
    <t>LT7A TEMP</t>
  </si>
  <si>
    <t>Min Charges</t>
  </si>
  <si>
    <t>Tax for actual bill amount</t>
  </si>
  <si>
    <t xml:space="preserve">Weekly minimum charges </t>
  </si>
  <si>
    <t xml:space="preserve">Type Of Meters </t>
  </si>
  <si>
    <t>KWH</t>
  </si>
  <si>
    <t>KVAH</t>
  </si>
  <si>
    <t xml:space="preserve">BMD </t>
  </si>
  <si>
    <t>PF</t>
  </si>
  <si>
    <t>HT-2(a)(ii)</t>
  </si>
  <si>
    <t>HT-2 (c) (i)</t>
  </si>
  <si>
    <t>HT-2 (c) (ii)</t>
  </si>
  <si>
    <t xml:space="preserve"> HT-3 (a)(i)</t>
  </si>
  <si>
    <t>HT-3(a)(ii)</t>
  </si>
  <si>
    <t xml:space="preserve"> HT-3(a)(iii)</t>
  </si>
  <si>
    <t>85% of CD</t>
  </si>
  <si>
    <t>HT1</t>
  </si>
  <si>
    <t>Demand charge</t>
  </si>
  <si>
    <t>Demand Cut</t>
  </si>
  <si>
    <t>Tarrif</t>
  </si>
  <si>
    <t>HT-2(a)(i)</t>
  </si>
  <si>
    <t>Slab-1:EC Charge</t>
  </si>
  <si>
    <t>Slab-2:EC Charge</t>
  </si>
  <si>
    <t>Charge/Unit in Paisa-1</t>
  </si>
  <si>
    <t>Charge/Unit in Paisa-2</t>
  </si>
  <si>
    <t>HT-2 (b)(i)</t>
  </si>
  <si>
    <t>HT-2(b)(ii)</t>
  </si>
  <si>
    <t xml:space="preserve"> HT-4</t>
  </si>
  <si>
    <t>HT–5</t>
  </si>
  <si>
    <t>HT-5 (a)</t>
  </si>
  <si>
    <t>MD Pen</t>
  </si>
  <si>
    <t>BMRCL</t>
  </si>
  <si>
    <t>Railway</t>
  </si>
  <si>
    <t>Plants</t>
  </si>
  <si>
    <t>BMRCL,Railway,Plants</t>
  </si>
  <si>
    <t>Tariff</t>
  </si>
  <si>
    <t>HT-2 (c) (i),HT-2 (c) (ii)</t>
  </si>
  <si>
    <t>HT-3(a)(iii)</t>
  </si>
  <si>
    <t xml:space="preserve"> HT-3 (b)</t>
  </si>
  <si>
    <t>No Charge</t>
  </si>
  <si>
    <t>Normal case</t>
  </si>
  <si>
    <t>Demand charge/KVA</t>
  </si>
  <si>
    <t>Energy Entitlement</t>
  </si>
  <si>
    <t>Contract demand</t>
  </si>
  <si>
    <t>MD Penalty</t>
  </si>
  <si>
    <r>
      <rPr>
        <b/>
        <sz val="11"/>
        <color theme="1"/>
        <rFont val="Calibri"/>
        <family val="2"/>
        <scheme val="minor"/>
      </rPr>
      <t>Note:
a)</t>
    </r>
    <r>
      <rPr>
        <sz val="11"/>
        <color theme="1"/>
        <rFont val="Calibri"/>
        <family val="2"/>
        <scheme val="minor"/>
      </rPr>
      <t xml:space="preserve">if RD&lt;85% CD then 85% CD* Demand Charges </t>
    </r>
    <r>
      <rPr>
        <b/>
        <sz val="11"/>
        <color theme="1"/>
        <rFont val="Calibri"/>
        <family val="2"/>
        <scheme val="minor"/>
      </rPr>
      <t>b)</t>
    </r>
    <r>
      <rPr>
        <sz val="11"/>
        <color theme="1"/>
        <rFont val="Calibri"/>
        <family val="2"/>
        <scheme val="minor"/>
      </rPr>
      <t xml:space="preserve">if RD is greater then 85% of CD and RD is less than CD then RD*Demand charges </t>
    </r>
    <r>
      <rPr>
        <b/>
        <sz val="11"/>
        <color theme="1"/>
        <rFont val="Calibri"/>
        <family val="2"/>
        <scheme val="minor"/>
      </rPr>
      <t>c)</t>
    </r>
    <r>
      <rPr>
        <sz val="11"/>
        <color theme="1"/>
        <rFont val="Calibri"/>
        <family val="2"/>
        <scheme val="minor"/>
      </rPr>
      <t>if RD is greater than CD then CD* Demand charge and MD Penalty charges will be charged</t>
    </r>
  </si>
  <si>
    <t>RD: Recorded Demand, CD: Contract  demand, MD: Maximum Demand</t>
  </si>
  <si>
    <t>if Units greater than 1lakh, then 1lakh*1st slab and Remaining *second slab</t>
  </si>
  <si>
    <t>Demand Cut case: Pending</t>
  </si>
  <si>
    <t>85% of EE</t>
  </si>
  <si>
    <t>No charge</t>
  </si>
  <si>
    <t>TOD</t>
  </si>
  <si>
    <t>Total Charge</t>
  </si>
  <si>
    <t>Total charge unitwise</t>
  </si>
  <si>
    <t>0.9-recorded pf*3*consumption unit</t>
  </si>
  <si>
    <t>IR</t>
  </si>
  <si>
    <t>FR</t>
  </si>
  <si>
    <t>MeterConstant</t>
  </si>
  <si>
    <t>Tax</t>
  </si>
  <si>
    <t>Mor peak</t>
  </si>
  <si>
    <t>ON Peak</t>
  </si>
  <si>
    <t>Off Peak</t>
  </si>
  <si>
    <t>Charge per unit in rupee</t>
  </si>
  <si>
    <t>pass</t>
  </si>
  <si>
    <t>Result</t>
  </si>
  <si>
    <t xml:space="preserve"> Units</t>
  </si>
  <si>
    <t>Demand/HP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</si>
</sst>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.00_ ;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9" fontId="0" fillId="0" borderId="0" xfId="0" applyNumberFormat="1"/>
    <xf numFmtId="0" fontId="0" fillId="0" borderId="1" xfId="0" applyBorder="1"/>
    <xf numFmtId="0" fontId="1" fillId="0" borderId="1" xfId="0" applyFont="1" applyBorder="1"/>
    <xf numFmtId="9" fontId="0" fillId="0" borderId="1" xfId="0" applyNumberFormat="1" applyBorder="1"/>
    <xf numFmtId="9" fontId="1" fillId="0" borderId="1" xfId="0" applyNumberFormat="1" applyFont="1" applyBorder="1" applyAlignment="1">
      <alignment horizontal="center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Fill="1" applyBorder="1"/>
    <xf numFmtId="0" fontId="0" fillId="2" borderId="1" xfId="0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 applyAlignment="1">
      <alignment horizont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5" xfId="0" applyFill="1" applyBorder="1"/>
    <xf numFmtId="165" fontId="0" fillId="0" borderId="1" xfId="1" applyNumberFormat="1" applyFont="1" applyBorder="1"/>
    <xf numFmtId="166" fontId="0" fillId="0" borderId="1" xfId="1" applyNumberFormat="1" applyFont="1" applyBorder="1"/>
    <xf numFmtId="165" fontId="0" fillId="0" borderId="0" xfId="1" applyNumberFormat="1" applyFont="1" applyBorder="1"/>
    <xf numFmtId="2" fontId="0" fillId="0" borderId="5" xfId="0" applyNumberFormat="1" applyFill="1" applyBorder="1"/>
    <xf numFmtId="2" fontId="0" fillId="0" borderId="0" xfId="1" applyNumberFormat="1" applyFont="1" applyBorder="1"/>
    <xf numFmtId="2" fontId="0" fillId="0" borderId="0" xfId="0" applyNumberFormat="1"/>
    <xf numFmtId="0" fontId="0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0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60"/>
  <sheetViews>
    <sheetView topLeftCell="A6" workbookViewId="0">
      <selection activeCell="J18" sqref="J18"/>
    </sheetView>
  </sheetViews>
  <sheetFormatPr defaultRowHeight="15" x14ac:dyDescent="0.25"/>
  <cols>
    <col min="2" max="2" width="11.140625" bestFit="1" customWidth="1"/>
    <col min="3" max="3" width="6.5703125" bestFit="1" customWidth="1"/>
    <col min="4" max="4" width="12.85546875" bestFit="1" customWidth="1"/>
    <col min="5" max="5" width="39.28515625" bestFit="1" customWidth="1"/>
    <col min="6" max="6" width="14" bestFit="1" customWidth="1"/>
    <col min="7" max="7" width="8" bestFit="1" customWidth="1"/>
    <col min="8" max="8" width="22.140625" bestFit="1" customWidth="1"/>
    <col min="9" max="9" width="12.42578125" bestFit="1" customWidth="1"/>
    <col min="10" max="10" width="15.140625" customWidth="1"/>
    <col min="11" max="11" width="15" bestFit="1" customWidth="1"/>
    <col min="12" max="13" width="16.7109375" bestFit="1" customWidth="1"/>
    <col min="14" max="14" width="11" bestFit="1" customWidth="1"/>
    <col min="15" max="15" width="11.7109375" bestFit="1" customWidth="1"/>
    <col min="18" max="18" width="10.7109375" bestFit="1" customWidth="1"/>
  </cols>
  <sheetData>
    <row r="5" spans="3:14" ht="14.45" x14ac:dyDescent="0.3">
      <c r="E5" s="4"/>
    </row>
    <row r="8" spans="3:14" ht="14.45" x14ac:dyDescent="0.3">
      <c r="C8" s="31" t="s">
        <v>11</v>
      </c>
      <c r="D8" s="32"/>
      <c r="E8" s="32"/>
      <c r="F8" s="33"/>
    </row>
    <row r="9" spans="3:14" ht="14.45" x14ac:dyDescent="0.3">
      <c r="C9" s="6"/>
      <c r="D9" s="6" t="s">
        <v>3</v>
      </c>
      <c r="E9" s="6" t="s">
        <v>2</v>
      </c>
      <c r="F9" s="6"/>
      <c r="I9" s="3" t="s">
        <v>1</v>
      </c>
      <c r="J9" s="8">
        <v>0.85</v>
      </c>
      <c r="K9" s="3" t="s">
        <v>0</v>
      </c>
      <c r="L9" s="3" t="s">
        <v>7</v>
      </c>
      <c r="M9" s="3" t="s">
        <v>16</v>
      </c>
      <c r="N9" s="3" t="s">
        <v>17</v>
      </c>
    </row>
    <row r="10" spans="3:14" ht="14.45" x14ac:dyDescent="0.3">
      <c r="C10" s="5"/>
      <c r="D10" s="5"/>
      <c r="E10" s="5" t="s">
        <v>0</v>
      </c>
      <c r="F10" s="5">
        <v>150</v>
      </c>
      <c r="I10" s="1">
        <v>100</v>
      </c>
      <c r="J10" s="1">
        <v>85</v>
      </c>
      <c r="K10" s="1">
        <v>70</v>
      </c>
      <c r="L10" s="1">
        <f>J10*220</f>
        <v>18700</v>
      </c>
      <c r="M10" s="1"/>
      <c r="N10" s="5">
        <v>3530955555</v>
      </c>
    </row>
    <row r="11" spans="3:14" ht="14.45" x14ac:dyDescent="0.3">
      <c r="C11" s="5"/>
      <c r="D11" s="5"/>
      <c r="E11" s="5" t="s">
        <v>1</v>
      </c>
      <c r="F11" s="5">
        <v>200</v>
      </c>
      <c r="I11" s="1">
        <v>200</v>
      </c>
      <c r="J11" s="1">
        <f>I11*85%</f>
        <v>170</v>
      </c>
      <c r="K11" s="1">
        <v>185</v>
      </c>
      <c r="L11" s="1">
        <f>K11*220</f>
        <v>40700</v>
      </c>
      <c r="M11" s="1"/>
      <c r="N11" s="5">
        <v>2260955555</v>
      </c>
    </row>
    <row r="12" spans="3:14" ht="14.45" x14ac:dyDescent="0.3">
      <c r="C12" s="5"/>
      <c r="D12" s="5"/>
      <c r="E12" s="5" t="s">
        <v>6</v>
      </c>
      <c r="F12" s="5">
        <f>F11*85%</f>
        <v>170</v>
      </c>
      <c r="I12" s="12">
        <v>100</v>
      </c>
      <c r="J12" s="12">
        <v>85</v>
      </c>
      <c r="K12" s="12">
        <v>150</v>
      </c>
      <c r="L12" s="1">
        <f>I12*220</f>
        <v>22000</v>
      </c>
      <c r="M12" s="1">
        <f>50*220*2</f>
        <v>22000</v>
      </c>
      <c r="N12" s="5"/>
    </row>
    <row r="13" spans="3:14" ht="14.45" x14ac:dyDescent="0.3">
      <c r="C13" s="5"/>
      <c r="D13" s="5"/>
      <c r="E13" s="5" t="s">
        <v>7</v>
      </c>
      <c r="F13" s="5">
        <f>F12*220</f>
        <v>37400</v>
      </c>
      <c r="I13" s="1"/>
      <c r="J13" s="1"/>
      <c r="K13" s="1"/>
      <c r="L13" s="1"/>
      <c r="M13" s="1"/>
      <c r="N13" s="5"/>
    </row>
    <row r="14" spans="3:14" ht="14.45" x14ac:dyDescent="0.3">
      <c r="C14" s="5"/>
      <c r="D14" s="5"/>
      <c r="E14" s="5"/>
      <c r="F14" s="5"/>
      <c r="I14" s="1">
        <v>4000</v>
      </c>
      <c r="J14" s="1">
        <v>3400</v>
      </c>
      <c r="K14" s="1">
        <v>4211</v>
      </c>
      <c r="L14" s="1">
        <f>I14*220</f>
        <v>880000</v>
      </c>
      <c r="M14" s="1">
        <f>211*220*2</f>
        <v>92840</v>
      </c>
      <c r="N14" s="5">
        <v>6030955555</v>
      </c>
    </row>
    <row r="15" spans="3:14" ht="14.45" x14ac:dyDescent="0.3">
      <c r="C15" s="5"/>
      <c r="D15" s="6" t="s">
        <v>4</v>
      </c>
      <c r="E15" s="6" t="s">
        <v>5</v>
      </c>
      <c r="F15" s="5"/>
    </row>
    <row r="16" spans="3:14" ht="14.45" x14ac:dyDescent="0.3">
      <c r="C16" s="5"/>
      <c r="D16" s="5"/>
      <c r="E16" s="5" t="s">
        <v>0</v>
      </c>
      <c r="F16" s="5">
        <v>185</v>
      </c>
    </row>
    <row r="17" spans="3:15" ht="14.45" x14ac:dyDescent="0.3">
      <c r="C17" s="5"/>
      <c r="D17" s="5"/>
      <c r="E17" s="5" t="s">
        <v>1</v>
      </c>
      <c r="F17" s="5">
        <v>200</v>
      </c>
    </row>
    <row r="18" spans="3:15" ht="14.45" x14ac:dyDescent="0.3">
      <c r="C18" s="5"/>
      <c r="D18" s="5"/>
      <c r="E18" s="5" t="s">
        <v>6</v>
      </c>
      <c r="F18" s="5">
        <f>F17*85%</f>
        <v>170</v>
      </c>
      <c r="H18">
        <v>0.75</v>
      </c>
    </row>
    <row r="19" spans="3:15" ht="14.45" x14ac:dyDescent="0.3">
      <c r="C19" s="5"/>
      <c r="D19" s="5"/>
      <c r="E19" s="5" t="s">
        <v>7</v>
      </c>
      <c r="F19" s="5">
        <f>F16*220</f>
        <v>40700</v>
      </c>
      <c r="H19">
        <v>200</v>
      </c>
    </row>
    <row r="20" spans="3:15" ht="14.45" x14ac:dyDescent="0.3">
      <c r="C20" s="5"/>
      <c r="D20" s="5"/>
      <c r="E20" s="5"/>
      <c r="F20" s="5"/>
      <c r="I20">
        <f>0.85-H18</f>
        <v>9.9999999999999978E-2</v>
      </c>
      <c r="J20">
        <f>I20*2*200</f>
        <v>39.999999999999993</v>
      </c>
    </row>
    <row r="21" spans="3:15" ht="14.45" x14ac:dyDescent="0.3">
      <c r="C21" s="5"/>
      <c r="D21" s="6" t="s">
        <v>8</v>
      </c>
      <c r="E21" s="6" t="s">
        <v>9</v>
      </c>
      <c r="F21" s="5"/>
      <c r="J21">
        <f>H19*0.3</f>
        <v>60</v>
      </c>
    </row>
    <row r="22" spans="3:15" ht="14.45" x14ac:dyDescent="0.3">
      <c r="C22" s="5"/>
      <c r="D22" s="5"/>
      <c r="E22" s="5" t="s">
        <v>0</v>
      </c>
      <c r="F22" s="5">
        <v>220</v>
      </c>
    </row>
    <row r="23" spans="3:15" ht="14.45" x14ac:dyDescent="0.3">
      <c r="C23" s="5"/>
      <c r="D23" s="5"/>
      <c r="E23" s="5" t="s">
        <v>1</v>
      </c>
      <c r="F23" s="5">
        <v>200</v>
      </c>
    </row>
    <row r="24" spans="3:15" ht="14.45" x14ac:dyDescent="0.3">
      <c r="C24" s="5"/>
      <c r="D24" s="5"/>
      <c r="E24" s="5" t="s">
        <v>6</v>
      </c>
      <c r="F24" s="5">
        <f>F23*85%</f>
        <v>170</v>
      </c>
    </row>
    <row r="25" spans="3:15" ht="14.45" x14ac:dyDescent="0.3">
      <c r="C25" s="5"/>
      <c r="D25" s="5"/>
      <c r="E25" s="5" t="s">
        <v>7</v>
      </c>
      <c r="F25" s="5">
        <f>F23*220</f>
        <v>44000</v>
      </c>
    </row>
    <row r="26" spans="3:15" ht="14.45" x14ac:dyDescent="0.3">
      <c r="C26" s="5"/>
      <c r="D26" s="5"/>
      <c r="E26" s="5" t="s">
        <v>10</v>
      </c>
      <c r="F26" s="5">
        <f>(F22-F23)*220*2</f>
        <v>8800</v>
      </c>
    </row>
    <row r="29" spans="3:15" ht="14.45" x14ac:dyDescent="0.3">
      <c r="C29" s="31" t="s">
        <v>15</v>
      </c>
      <c r="D29" s="32"/>
      <c r="E29" s="32"/>
      <c r="F29" s="33"/>
      <c r="I29" s="3" t="s">
        <v>1</v>
      </c>
      <c r="J29" s="3" t="s">
        <v>12</v>
      </c>
      <c r="K29" s="8">
        <v>0.85</v>
      </c>
      <c r="L29" s="3" t="s">
        <v>0</v>
      </c>
      <c r="M29" s="3" t="s">
        <v>7</v>
      </c>
      <c r="N29" s="3" t="s">
        <v>16</v>
      </c>
      <c r="O29" s="3" t="s">
        <v>17</v>
      </c>
    </row>
    <row r="30" spans="3:15" ht="14.45" x14ac:dyDescent="0.3">
      <c r="C30" s="6"/>
      <c r="D30" s="6" t="s">
        <v>3</v>
      </c>
      <c r="E30" s="6" t="s">
        <v>2</v>
      </c>
      <c r="F30" s="6"/>
      <c r="I30" s="1">
        <v>200</v>
      </c>
      <c r="J30" s="1">
        <v>140</v>
      </c>
      <c r="K30" s="1">
        <v>119</v>
      </c>
      <c r="L30" s="1">
        <v>70</v>
      </c>
      <c r="M30" s="1">
        <f>K30*210</f>
        <v>24990</v>
      </c>
      <c r="N30" s="1"/>
      <c r="O30" s="1">
        <v>4260955555</v>
      </c>
    </row>
    <row r="31" spans="3:15" ht="14.45" x14ac:dyDescent="0.3">
      <c r="C31" s="5"/>
      <c r="D31" s="5"/>
      <c r="E31" s="5" t="s">
        <v>0</v>
      </c>
      <c r="F31" s="5">
        <v>70</v>
      </c>
      <c r="I31" s="1">
        <v>200</v>
      </c>
      <c r="J31" s="1">
        <v>140</v>
      </c>
      <c r="K31" s="1">
        <v>119</v>
      </c>
      <c r="L31" s="1">
        <v>130</v>
      </c>
      <c r="M31" s="1">
        <f>L31*210</f>
        <v>27300</v>
      </c>
      <c r="N31" s="1"/>
      <c r="O31" s="1">
        <v>8950955555</v>
      </c>
    </row>
    <row r="32" spans="3:15" ht="14.45" x14ac:dyDescent="0.3">
      <c r="C32" s="5"/>
      <c r="D32" s="5"/>
      <c r="E32" s="5" t="s">
        <v>1</v>
      </c>
      <c r="F32" s="5">
        <v>200</v>
      </c>
      <c r="I32" s="1">
        <v>200</v>
      </c>
      <c r="J32" s="1">
        <v>140</v>
      </c>
      <c r="K32" s="1">
        <v>119</v>
      </c>
      <c r="L32" s="1">
        <v>150</v>
      </c>
      <c r="M32" s="1">
        <f>J32*210</f>
        <v>29400</v>
      </c>
      <c r="N32" s="1">
        <f>10*210*2</f>
        <v>4200</v>
      </c>
      <c r="O32" s="1">
        <v>3414014444</v>
      </c>
    </row>
    <row r="33" spans="3:13" ht="14.45" x14ac:dyDescent="0.3">
      <c r="C33" s="5"/>
      <c r="D33" s="5"/>
      <c r="E33" s="5" t="s">
        <v>12</v>
      </c>
      <c r="F33" s="7">
        <v>0.3</v>
      </c>
    </row>
    <row r="34" spans="3:13" ht="14.45" x14ac:dyDescent="0.3">
      <c r="C34" s="5"/>
      <c r="D34" s="5"/>
      <c r="E34" s="5" t="s">
        <v>13</v>
      </c>
      <c r="F34" s="5">
        <f>F32-(F32*F33)</f>
        <v>140</v>
      </c>
    </row>
    <row r="35" spans="3:13" ht="14.45" x14ac:dyDescent="0.3">
      <c r="C35" s="5"/>
      <c r="D35" s="5"/>
      <c r="E35" s="5" t="s">
        <v>14</v>
      </c>
      <c r="F35" s="5">
        <f>F34*85%</f>
        <v>119</v>
      </c>
    </row>
    <row r="36" spans="3:13" ht="14.45" x14ac:dyDescent="0.3">
      <c r="C36" s="5"/>
      <c r="D36" s="5"/>
      <c r="E36" s="5" t="s">
        <v>7</v>
      </c>
      <c r="F36" s="5">
        <f>F35*220</f>
        <v>26180</v>
      </c>
    </row>
    <row r="37" spans="3:13" ht="14.45" x14ac:dyDescent="0.3">
      <c r="C37" s="5"/>
      <c r="D37" s="5"/>
      <c r="E37" s="5"/>
      <c r="F37" s="5"/>
    </row>
    <row r="38" spans="3:13" x14ac:dyDescent="0.25">
      <c r="C38" s="5"/>
      <c r="D38" s="6" t="s">
        <v>4</v>
      </c>
      <c r="E38" s="6" t="s">
        <v>5</v>
      </c>
      <c r="F38" s="5"/>
    </row>
    <row r="39" spans="3:13" x14ac:dyDescent="0.25">
      <c r="C39" s="5"/>
      <c r="D39" s="5"/>
      <c r="E39" s="5" t="s">
        <v>0</v>
      </c>
      <c r="F39" s="5">
        <v>130</v>
      </c>
      <c r="H39" s="5"/>
      <c r="I39" s="6" t="s">
        <v>23</v>
      </c>
      <c r="J39" s="5"/>
      <c r="K39" s="5"/>
      <c r="L39" s="5"/>
      <c r="M39" s="5"/>
    </row>
    <row r="40" spans="3:13" x14ac:dyDescent="0.25">
      <c r="C40" s="5"/>
      <c r="D40" s="5"/>
      <c r="E40" s="5" t="s">
        <v>1</v>
      </c>
      <c r="F40" s="5">
        <v>200</v>
      </c>
      <c r="H40" s="5"/>
      <c r="I40" s="5"/>
      <c r="J40" s="5"/>
      <c r="K40" s="5" t="s">
        <v>22</v>
      </c>
      <c r="L40" s="5"/>
      <c r="M40" s="5"/>
    </row>
    <row r="41" spans="3:13" x14ac:dyDescent="0.25">
      <c r="C41" s="5"/>
      <c r="D41" s="5"/>
      <c r="E41" s="5" t="s">
        <v>12</v>
      </c>
      <c r="F41" s="7">
        <v>0.3</v>
      </c>
      <c r="H41" s="5"/>
      <c r="I41" s="5" t="s">
        <v>18</v>
      </c>
      <c r="J41" s="5" t="s">
        <v>19</v>
      </c>
      <c r="K41" s="9">
        <v>43985</v>
      </c>
      <c r="L41" s="9">
        <v>44006</v>
      </c>
      <c r="M41" s="5">
        <f>L41-K41</f>
        <v>21</v>
      </c>
    </row>
    <row r="42" spans="3:13" x14ac:dyDescent="0.25">
      <c r="C42" s="5"/>
      <c r="D42" s="5"/>
      <c r="E42" s="5" t="s">
        <v>13</v>
      </c>
      <c r="F42" s="5">
        <f>F40-(F40*F41)</f>
        <v>140</v>
      </c>
      <c r="H42" s="5"/>
      <c r="I42" s="5">
        <v>210</v>
      </c>
      <c r="J42" s="10">
        <v>10.6</v>
      </c>
      <c r="K42" s="5"/>
      <c r="L42" s="5"/>
      <c r="M42" s="5"/>
    </row>
    <row r="43" spans="3:13" x14ac:dyDescent="0.25">
      <c r="C43" s="5"/>
      <c r="D43" s="5"/>
      <c r="E43" s="5" t="s">
        <v>14</v>
      </c>
      <c r="F43" s="5">
        <f>F42*85%</f>
        <v>119</v>
      </c>
      <c r="H43" s="5"/>
      <c r="I43" s="5"/>
      <c r="J43" s="5"/>
      <c r="K43" s="5"/>
      <c r="L43" s="5"/>
      <c r="M43" s="5"/>
    </row>
    <row r="44" spans="3:13" x14ac:dyDescent="0.25">
      <c r="C44" s="5"/>
      <c r="D44" s="5"/>
      <c r="E44" s="5" t="s">
        <v>7</v>
      </c>
      <c r="F44" s="5">
        <f>F39*220</f>
        <v>28600</v>
      </c>
      <c r="H44" s="5"/>
      <c r="I44" s="5"/>
      <c r="J44" s="5"/>
      <c r="K44" s="5"/>
      <c r="L44" s="5"/>
      <c r="M44" s="5"/>
    </row>
    <row r="45" spans="3:13" x14ac:dyDescent="0.25">
      <c r="C45" s="5"/>
      <c r="D45" s="5"/>
      <c r="E45" s="5"/>
      <c r="F45" s="5"/>
      <c r="H45" s="5"/>
      <c r="I45" s="5" t="s">
        <v>20</v>
      </c>
      <c r="J45" s="5" t="s">
        <v>21</v>
      </c>
      <c r="K45" s="5"/>
      <c r="L45" s="5"/>
      <c r="M45" s="5"/>
    </row>
    <row r="46" spans="3:13" x14ac:dyDescent="0.25">
      <c r="C46" s="5"/>
      <c r="D46" s="6" t="s">
        <v>8</v>
      </c>
      <c r="E46" s="6" t="s">
        <v>9</v>
      </c>
      <c r="F46" s="5"/>
      <c r="H46" s="5"/>
      <c r="I46" s="5">
        <v>4</v>
      </c>
      <c r="J46" s="5">
        <v>100</v>
      </c>
      <c r="K46" s="5"/>
      <c r="L46" s="5"/>
      <c r="M46" s="5"/>
    </row>
    <row r="47" spans="3:13" x14ac:dyDescent="0.25">
      <c r="C47" s="5"/>
      <c r="D47" s="5"/>
      <c r="E47" s="5" t="s">
        <v>0</v>
      </c>
      <c r="F47" s="5">
        <v>150</v>
      </c>
      <c r="H47" s="5" t="s">
        <v>24</v>
      </c>
      <c r="I47" s="5">
        <f>I46*I42*3</f>
        <v>2520</v>
      </c>
      <c r="J47" s="5">
        <f>J46*J42</f>
        <v>1060</v>
      </c>
      <c r="K47" s="5"/>
      <c r="L47" s="5"/>
      <c r="M47" s="5"/>
    </row>
    <row r="48" spans="3:13" x14ac:dyDescent="0.25">
      <c r="C48" s="5"/>
      <c r="D48" s="5"/>
      <c r="E48" s="5" t="s">
        <v>1</v>
      </c>
      <c r="F48" s="5">
        <v>200</v>
      </c>
      <c r="H48" s="5"/>
      <c r="I48" s="5"/>
      <c r="J48" s="5"/>
      <c r="K48" s="5"/>
      <c r="L48" s="5"/>
      <c r="M48" s="5"/>
    </row>
    <row r="49" spans="3:13" x14ac:dyDescent="0.25">
      <c r="C49" s="5"/>
      <c r="D49" s="5"/>
      <c r="E49" s="5" t="s">
        <v>12</v>
      </c>
      <c r="F49" s="7">
        <v>0.3</v>
      </c>
      <c r="H49" s="5" t="s">
        <v>24</v>
      </c>
      <c r="I49" s="5">
        <f>I46*I42*3</f>
        <v>2520</v>
      </c>
      <c r="J49" s="5">
        <f>500*J42</f>
        <v>5300</v>
      </c>
      <c r="K49" s="5"/>
      <c r="L49" s="5"/>
      <c r="M49" s="5"/>
    </row>
    <row r="50" spans="3:13" x14ac:dyDescent="0.25">
      <c r="C50" s="5"/>
      <c r="D50" s="5"/>
      <c r="E50" s="5" t="s">
        <v>13</v>
      </c>
      <c r="F50" s="5">
        <f>F48-(F48*F49)</f>
        <v>140</v>
      </c>
      <c r="H50" s="5" t="s">
        <v>25</v>
      </c>
      <c r="I50" s="5"/>
      <c r="J50" s="5"/>
      <c r="K50" s="5"/>
      <c r="L50" s="5"/>
      <c r="M50" s="5"/>
    </row>
    <row r="51" spans="3:13" x14ac:dyDescent="0.25">
      <c r="C51" s="5"/>
      <c r="D51" s="5"/>
      <c r="E51" s="5" t="s">
        <v>14</v>
      </c>
      <c r="F51" s="5">
        <f>F50*85%</f>
        <v>119</v>
      </c>
      <c r="H51" s="11" t="s">
        <v>26</v>
      </c>
      <c r="I51" s="5"/>
      <c r="J51" s="5"/>
      <c r="K51" s="5"/>
      <c r="L51" s="5"/>
      <c r="M51" s="5"/>
    </row>
    <row r="52" spans="3:13" x14ac:dyDescent="0.25">
      <c r="C52" s="5"/>
      <c r="D52" s="5"/>
      <c r="E52" s="5" t="s">
        <v>7</v>
      </c>
      <c r="F52" s="5">
        <f>F50*210</f>
        <v>29400</v>
      </c>
    </row>
    <row r="53" spans="3:13" x14ac:dyDescent="0.25">
      <c r="C53" s="5"/>
      <c r="D53" s="5"/>
      <c r="E53" s="5" t="s">
        <v>10</v>
      </c>
      <c r="F53" s="5">
        <f>(F47-F50)*220*2</f>
        <v>4400</v>
      </c>
    </row>
    <row r="56" spans="3:13" x14ac:dyDescent="0.25">
      <c r="H56" s="1" t="s">
        <v>27</v>
      </c>
      <c r="I56" s="1" t="s">
        <v>28</v>
      </c>
      <c r="J56" s="1" t="s">
        <v>29</v>
      </c>
      <c r="K56" s="1" t="s">
        <v>30</v>
      </c>
      <c r="L56" s="1" t="s">
        <v>31</v>
      </c>
    </row>
    <row r="57" spans="3:13" x14ac:dyDescent="0.25">
      <c r="H57" s="1">
        <v>0</v>
      </c>
      <c r="I57" s="1">
        <v>1</v>
      </c>
      <c r="J57" s="1">
        <v>0</v>
      </c>
      <c r="K57" s="1">
        <v>0</v>
      </c>
      <c r="L57" s="1">
        <v>0</v>
      </c>
    </row>
    <row r="58" spans="3:13" x14ac:dyDescent="0.25">
      <c r="H58" s="1">
        <v>1</v>
      </c>
      <c r="I58" s="1">
        <v>1</v>
      </c>
      <c r="J58" s="1">
        <v>1</v>
      </c>
      <c r="K58" s="1">
        <v>1</v>
      </c>
      <c r="L58" s="1">
        <v>1</v>
      </c>
    </row>
    <row r="59" spans="3:13" x14ac:dyDescent="0.25">
      <c r="H59" s="1">
        <v>2</v>
      </c>
      <c r="I59" s="1">
        <v>1</v>
      </c>
      <c r="J59" s="1">
        <v>1</v>
      </c>
      <c r="K59" s="1">
        <v>1</v>
      </c>
      <c r="L59" s="1">
        <v>0</v>
      </c>
    </row>
    <row r="60" spans="3:13" x14ac:dyDescent="0.25">
      <c r="H60" s="1">
        <v>3</v>
      </c>
      <c r="I60" s="1">
        <v>1</v>
      </c>
      <c r="J60" s="1">
        <v>1</v>
      </c>
      <c r="K60" s="1">
        <v>1</v>
      </c>
      <c r="L60" s="1">
        <v>0</v>
      </c>
    </row>
  </sheetData>
  <mergeCells count="2">
    <mergeCell ref="C8:F8"/>
    <mergeCell ref="C29:F2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opLeftCell="L1" zoomScaleNormal="100" workbookViewId="0">
      <selection activeCell="M4" sqref="M4"/>
    </sheetView>
  </sheetViews>
  <sheetFormatPr defaultRowHeight="15" x14ac:dyDescent="0.25"/>
  <cols>
    <col min="1" max="1" width="31.28515625" bestFit="1" customWidth="1"/>
    <col min="2" max="2" width="14.85546875" customWidth="1"/>
    <col min="3" max="3" width="15.7109375" bestFit="1" customWidth="1"/>
    <col min="4" max="4" width="13.42578125" customWidth="1"/>
    <col min="5" max="5" width="11.28515625" customWidth="1"/>
    <col min="6" max="6" width="18.140625" bestFit="1" customWidth="1"/>
    <col min="7" max="7" width="15.7109375" bestFit="1" customWidth="1"/>
    <col min="8" max="8" width="15.7109375" customWidth="1"/>
    <col min="9" max="12" width="14.28515625" customWidth="1"/>
    <col min="13" max="13" width="19.28515625" bestFit="1" customWidth="1"/>
    <col min="14" max="14" width="23.28515625" bestFit="1" customWidth="1"/>
    <col min="15" max="15" width="23.28515625" customWidth="1"/>
    <col min="16" max="17" width="21.85546875" customWidth="1"/>
    <col min="18" max="18" width="14" bestFit="1" customWidth="1"/>
    <col min="19" max="19" width="10" bestFit="1" customWidth="1"/>
    <col min="20" max="20" width="14.28515625" bestFit="1" customWidth="1"/>
    <col min="21" max="21" width="24.140625" customWidth="1"/>
  </cols>
  <sheetData>
    <row r="1" spans="1:21" ht="14.45" x14ac:dyDescent="0.3">
      <c r="B1" s="13" t="s">
        <v>63</v>
      </c>
      <c r="F1" s="15"/>
      <c r="G1" s="15"/>
      <c r="N1" s="13" t="s">
        <v>71</v>
      </c>
      <c r="O1" s="13"/>
      <c r="P1" s="13"/>
      <c r="Q1" s="13"/>
    </row>
    <row r="2" spans="1:21" ht="14.45" x14ac:dyDescent="0.3">
      <c r="F2" s="15"/>
      <c r="G2" s="15"/>
    </row>
    <row r="3" spans="1:21" ht="28.9" x14ac:dyDescent="0.3">
      <c r="A3" s="6" t="s">
        <v>58</v>
      </c>
      <c r="B3" s="16" t="s">
        <v>64</v>
      </c>
      <c r="C3" s="14" t="s">
        <v>66</v>
      </c>
      <c r="D3" s="8" t="s">
        <v>38</v>
      </c>
      <c r="E3" s="14" t="s">
        <v>0</v>
      </c>
      <c r="F3" s="6" t="s">
        <v>40</v>
      </c>
      <c r="G3" s="6" t="s">
        <v>67</v>
      </c>
      <c r="H3" s="13" t="s">
        <v>89</v>
      </c>
      <c r="I3" s="13"/>
      <c r="J3" s="13"/>
      <c r="K3" s="13"/>
      <c r="L3" s="13"/>
      <c r="M3" s="6" t="s">
        <v>58</v>
      </c>
      <c r="N3" s="2" t="s">
        <v>64</v>
      </c>
      <c r="O3" s="2" t="s">
        <v>1</v>
      </c>
      <c r="P3" s="2" t="s">
        <v>41</v>
      </c>
      <c r="Q3" s="2" t="s">
        <v>65</v>
      </c>
      <c r="R3" s="8" t="s">
        <v>72</v>
      </c>
      <c r="S3" s="14" t="s">
        <v>0</v>
      </c>
      <c r="T3" s="6" t="s">
        <v>40</v>
      </c>
      <c r="U3" s="6" t="s">
        <v>53</v>
      </c>
    </row>
    <row r="4" spans="1:21" ht="14.45" x14ac:dyDescent="0.3">
      <c r="A4" s="17" t="s">
        <v>39</v>
      </c>
      <c r="B4" s="18">
        <v>210</v>
      </c>
      <c r="C4" s="19">
        <v>550</v>
      </c>
      <c r="D4" s="17">
        <f>ROUND(C4*0.85,0)</f>
        <v>468</v>
      </c>
      <c r="E4" s="19">
        <v>462</v>
      </c>
      <c r="F4" s="17">
        <f>IF(E4&gt;D4,IF(E4&lt;C4,E4*B4,C4*B4),D4*B4)</f>
        <v>98280</v>
      </c>
      <c r="G4" s="17">
        <f t="shared" ref="G4:G16" si="0">IF(E4&gt;C4,(E4-C4)*B4*2,0)</f>
        <v>0</v>
      </c>
      <c r="M4" s="17" t="s">
        <v>39</v>
      </c>
      <c r="N4" s="27">
        <v>210</v>
      </c>
      <c r="O4" s="27">
        <v>550</v>
      </c>
      <c r="P4" s="28">
        <f>O4*35%</f>
        <v>192.5</v>
      </c>
      <c r="Q4" s="28">
        <f>O4*65%</f>
        <v>357.5</v>
      </c>
      <c r="R4" s="5">
        <f>ROUND(Q4*85%,0)</f>
        <v>304</v>
      </c>
      <c r="S4" s="19">
        <v>462</v>
      </c>
      <c r="T4" s="17">
        <f t="shared" ref="T4:T10" si="1">IF(S4&gt;R4,IF(S4&gt;Q4,Q4*N4,S4*N4),R4*N4)</f>
        <v>75075</v>
      </c>
      <c r="U4" s="17">
        <f t="shared" ref="U4:U16" si="2">IF(S4&gt;Q4,(S4-Q4)*2*N4,0)</f>
        <v>43890</v>
      </c>
    </row>
    <row r="5" spans="1:21" ht="14.45" x14ac:dyDescent="0.3">
      <c r="A5" s="5" t="s">
        <v>43</v>
      </c>
      <c r="B5" s="5">
        <v>220</v>
      </c>
      <c r="C5" s="19">
        <v>550</v>
      </c>
      <c r="D5" s="5">
        <f>ROUND(C5*0.85,0)</f>
        <v>468</v>
      </c>
      <c r="E5" s="19">
        <v>462</v>
      </c>
      <c r="F5" s="5">
        <f>IF(E5&gt;D5,IF(E5&lt;C5,E5*B5,C5*B5),D5*B5)</f>
        <v>102960</v>
      </c>
      <c r="G5" s="5">
        <f t="shared" si="0"/>
        <v>0</v>
      </c>
      <c r="M5" s="5" t="s">
        <v>43</v>
      </c>
      <c r="N5" s="5">
        <v>220</v>
      </c>
      <c r="O5" s="27">
        <v>4000</v>
      </c>
      <c r="P5" s="28">
        <f>O5*35%</f>
        <v>1400</v>
      </c>
      <c r="Q5" s="28">
        <f>O5*65%</f>
        <v>2600</v>
      </c>
      <c r="R5" s="5">
        <f>Q5*0.85</f>
        <v>2210</v>
      </c>
      <c r="S5" s="19">
        <v>2601</v>
      </c>
      <c r="T5" s="17">
        <f t="shared" si="1"/>
        <v>572000</v>
      </c>
      <c r="U5" s="17">
        <f t="shared" si="2"/>
        <v>440</v>
      </c>
    </row>
    <row r="6" spans="1:21" ht="14.45" x14ac:dyDescent="0.3">
      <c r="A6" s="5" t="s">
        <v>32</v>
      </c>
      <c r="B6" s="5">
        <v>210</v>
      </c>
      <c r="C6" s="19">
        <v>550</v>
      </c>
      <c r="D6" s="5">
        <f t="shared" ref="D6:D16" si="3">ROUND(C6*0.85,0)</f>
        <v>468</v>
      </c>
      <c r="E6" s="19">
        <v>470</v>
      </c>
      <c r="F6" s="5">
        <f t="shared" ref="F6:F10" si="4">IF(E6&gt;D6,IF(E6&lt;C6,E6*B6,C6*B6),D6*B6)</f>
        <v>98700</v>
      </c>
      <c r="G6" s="5">
        <f t="shared" si="0"/>
        <v>0</v>
      </c>
      <c r="M6" s="5" t="s">
        <v>32</v>
      </c>
      <c r="N6" s="5">
        <v>210</v>
      </c>
      <c r="O6" s="27">
        <v>550</v>
      </c>
      <c r="P6" s="28">
        <f>ROUND(O6*0.3,2)</f>
        <v>165</v>
      </c>
      <c r="Q6" s="28">
        <f>O6-P6</f>
        <v>385</v>
      </c>
      <c r="R6" s="5">
        <f>ROUND(Q6*0.85,0)</f>
        <v>327</v>
      </c>
      <c r="S6" s="19">
        <v>550</v>
      </c>
      <c r="T6" s="17">
        <f t="shared" si="1"/>
        <v>80850</v>
      </c>
      <c r="U6" s="30">
        <f t="shared" si="2"/>
        <v>69300</v>
      </c>
    </row>
    <row r="7" spans="1:21" ht="14.45" x14ac:dyDescent="0.3">
      <c r="A7" s="5" t="s">
        <v>57</v>
      </c>
      <c r="B7" s="5">
        <v>220</v>
      </c>
      <c r="C7" s="19">
        <v>550</v>
      </c>
      <c r="D7" s="5">
        <f t="shared" si="3"/>
        <v>468</v>
      </c>
      <c r="E7" s="19">
        <v>555</v>
      </c>
      <c r="F7" s="5">
        <f t="shared" si="4"/>
        <v>121000</v>
      </c>
      <c r="G7" s="10">
        <f t="shared" si="0"/>
        <v>2200</v>
      </c>
      <c r="M7" s="5" t="s">
        <v>57</v>
      </c>
      <c r="N7" s="5">
        <v>220</v>
      </c>
      <c r="O7" s="27">
        <v>550</v>
      </c>
      <c r="P7" s="28">
        <f t="shared" ref="P7:P14" si="5">O7*40%</f>
        <v>220</v>
      </c>
      <c r="Q7" s="28">
        <f t="shared" ref="Q7:Q10" si="6">O7-P7</f>
        <v>330</v>
      </c>
      <c r="R7" s="5">
        <f t="shared" ref="R7:R16" si="7">ROUND(Q7*85%,0)</f>
        <v>281</v>
      </c>
      <c r="S7" s="19">
        <v>65</v>
      </c>
      <c r="T7" s="17">
        <f t="shared" si="1"/>
        <v>61820</v>
      </c>
      <c r="U7" s="17">
        <f t="shared" si="2"/>
        <v>0</v>
      </c>
    </row>
    <row r="8" spans="1:21" ht="14.45" x14ac:dyDescent="0.3">
      <c r="A8" s="5" t="s">
        <v>48</v>
      </c>
      <c r="B8" s="5">
        <v>240</v>
      </c>
      <c r="C8" s="19">
        <v>100</v>
      </c>
      <c r="D8" s="5">
        <f t="shared" si="3"/>
        <v>85</v>
      </c>
      <c r="E8" s="19">
        <v>105</v>
      </c>
      <c r="F8" s="5">
        <f t="shared" si="4"/>
        <v>24000</v>
      </c>
      <c r="G8" s="5">
        <f t="shared" si="0"/>
        <v>2400</v>
      </c>
      <c r="M8" s="5" t="s">
        <v>48</v>
      </c>
      <c r="N8" s="5">
        <v>240</v>
      </c>
      <c r="O8" s="27">
        <v>550</v>
      </c>
      <c r="P8" s="28">
        <f t="shared" si="5"/>
        <v>220</v>
      </c>
      <c r="Q8" s="28">
        <f t="shared" si="6"/>
        <v>330</v>
      </c>
      <c r="R8" s="5">
        <f t="shared" si="7"/>
        <v>281</v>
      </c>
      <c r="S8" s="19">
        <v>300</v>
      </c>
      <c r="T8" s="17">
        <f t="shared" si="1"/>
        <v>72000</v>
      </c>
      <c r="U8" s="17">
        <f t="shared" si="2"/>
        <v>0</v>
      </c>
    </row>
    <row r="9" spans="1:21" ht="14.45" x14ac:dyDescent="0.3">
      <c r="A9" s="11" t="s">
        <v>49</v>
      </c>
      <c r="B9" s="11">
        <v>230</v>
      </c>
      <c r="C9" s="19">
        <v>550</v>
      </c>
      <c r="D9" s="5">
        <f t="shared" si="3"/>
        <v>468</v>
      </c>
      <c r="E9" s="19">
        <v>560</v>
      </c>
      <c r="F9" s="5">
        <f t="shared" si="4"/>
        <v>126500</v>
      </c>
      <c r="G9" s="11">
        <f t="shared" si="0"/>
        <v>4600</v>
      </c>
      <c r="M9" s="11" t="s">
        <v>49</v>
      </c>
      <c r="N9" s="11">
        <v>230</v>
      </c>
      <c r="O9" s="27">
        <v>550</v>
      </c>
      <c r="P9" s="28">
        <f t="shared" si="5"/>
        <v>220</v>
      </c>
      <c r="Q9" s="28">
        <f t="shared" si="6"/>
        <v>330</v>
      </c>
      <c r="R9" s="5">
        <f t="shared" si="7"/>
        <v>281</v>
      </c>
      <c r="S9" s="19">
        <v>462</v>
      </c>
      <c r="T9" s="17">
        <f t="shared" si="1"/>
        <v>75900</v>
      </c>
      <c r="U9" s="17">
        <f t="shared" si="2"/>
        <v>60720</v>
      </c>
    </row>
    <row r="10" spans="1:21" ht="14.45" x14ac:dyDescent="0.3">
      <c r="A10" s="11" t="s">
        <v>59</v>
      </c>
      <c r="B10" s="11">
        <v>210</v>
      </c>
      <c r="C10" s="19">
        <v>550</v>
      </c>
      <c r="D10" s="5">
        <f t="shared" si="3"/>
        <v>468</v>
      </c>
      <c r="E10" s="19">
        <v>470</v>
      </c>
      <c r="F10" s="5">
        <f t="shared" si="4"/>
        <v>98700</v>
      </c>
      <c r="G10" s="11">
        <f t="shared" si="0"/>
        <v>0</v>
      </c>
      <c r="M10" s="11" t="s">
        <v>59</v>
      </c>
      <c r="N10" s="11">
        <v>210</v>
      </c>
      <c r="O10" s="27">
        <v>550</v>
      </c>
      <c r="P10" s="28">
        <f>O10*50%</f>
        <v>275</v>
      </c>
      <c r="Q10" s="28">
        <f t="shared" si="6"/>
        <v>275</v>
      </c>
      <c r="R10" s="5">
        <f t="shared" si="7"/>
        <v>234</v>
      </c>
      <c r="S10" s="19">
        <v>235</v>
      </c>
      <c r="T10" s="17">
        <f t="shared" si="1"/>
        <v>49350</v>
      </c>
      <c r="U10" s="17">
        <f t="shared" si="2"/>
        <v>0</v>
      </c>
    </row>
    <row r="11" spans="1:21" ht="14.45" x14ac:dyDescent="0.3">
      <c r="A11" s="11" t="s">
        <v>35</v>
      </c>
      <c r="B11" s="5">
        <f>ROUND(1480/12,2)</f>
        <v>123.33</v>
      </c>
      <c r="C11" s="19">
        <v>550</v>
      </c>
      <c r="D11" s="5">
        <f t="shared" si="3"/>
        <v>468</v>
      </c>
      <c r="E11" s="19">
        <v>450</v>
      </c>
      <c r="F11" s="5">
        <f t="shared" ref="F11:F15" si="8">IF(E11&gt;D11,IF(E11&lt;C11,E11*B11,C11*B11),D11*B11)</f>
        <v>57718.44</v>
      </c>
      <c r="G11" s="11">
        <f t="shared" si="0"/>
        <v>0</v>
      </c>
      <c r="M11" s="29" t="s">
        <v>35</v>
      </c>
      <c r="N11" s="5">
        <f>ROUND(1480/12,2)</f>
        <v>123.33</v>
      </c>
      <c r="O11" s="27">
        <v>100</v>
      </c>
      <c r="P11" s="28">
        <f t="shared" si="5"/>
        <v>40</v>
      </c>
      <c r="Q11" s="28">
        <f t="shared" ref="Q11" si="9">ROUND(O11*60%,0)</f>
        <v>60</v>
      </c>
      <c r="R11" s="5">
        <f t="shared" si="7"/>
        <v>51</v>
      </c>
      <c r="S11" s="19">
        <v>65</v>
      </c>
      <c r="T11" s="17">
        <f>IF(IF(S11&gt;R11,IF(S11&gt;Q11,Q11*N11,S11*N11),R11*N11)&gt;1480,IF(S11&gt;R11,IF(S11&gt;Q11,Q11*N11,S11*N11),R11*N11),1480)</f>
        <v>7399.8</v>
      </c>
      <c r="U11" s="17">
        <f t="shared" si="2"/>
        <v>1233.3</v>
      </c>
    </row>
    <row r="12" spans="1:21" ht="14.45" x14ac:dyDescent="0.3">
      <c r="A12" s="11" t="s">
        <v>36</v>
      </c>
      <c r="B12" s="5">
        <v>70</v>
      </c>
      <c r="C12" s="19">
        <v>550</v>
      </c>
      <c r="D12" s="5">
        <f>ROUND(C12*0.85,0)</f>
        <v>468</v>
      </c>
      <c r="E12" s="19">
        <v>560</v>
      </c>
      <c r="F12" s="5">
        <f>ROUND(IF(E12&gt;D12,IF(E12&lt;C12,(E12/0.878)*B12,(C12/0.878)*B12),(D12/0.878)*B12),2)</f>
        <v>43849.66</v>
      </c>
      <c r="G12" s="11">
        <f t="shared" si="0"/>
        <v>1400</v>
      </c>
      <c r="M12" s="11" t="s">
        <v>36</v>
      </c>
      <c r="N12" s="5">
        <v>70</v>
      </c>
      <c r="O12" s="27">
        <v>550</v>
      </c>
      <c r="P12" s="28">
        <f>O12*25%</f>
        <v>137.5</v>
      </c>
      <c r="Q12" s="28">
        <f>O12-P12</f>
        <v>412.5</v>
      </c>
      <c r="R12" s="5">
        <f>ROUND((Q12*85%),0)</f>
        <v>351</v>
      </c>
      <c r="S12" s="19">
        <v>462</v>
      </c>
      <c r="T12" s="17">
        <f>ROUND(IF(S12&gt;R12,IF(S12&gt;Q12,(Q12/0.878)*N12,(S12/0.878)*N12),(R12/0.878)*N12),2)</f>
        <v>32887.24</v>
      </c>
      <c r="U12" s="17">
        <f t="shared" si="2"/>
        <v>6930</v>
      </c>
    </row>
    <row r="13" spans="1:21" ht="14.45" x14ac:dyDescent="0.3">
      <c r="A13" s="11" t="s">
        <v>60</v>
      </c>
      <c r="B13" s="5">
        <v>50</v>
      </c>
      <c r="C13" s="19">
        <v>550</v>
      </c>
      <c r="D13" s="5">
        <f t="shared" si="3"/>
        <v>468</v>
      </c>
      <c r="E13" s="19">
        <v>500</v>
      </c>
      <c r="F13" s="5">
        <f>ROUND(IF(E13&gt;D13,IF(E13&lt;C13,(E13/0.878)*B13,(C13/0.878)*B13),(D13/0.878)*B13),2)</f>
        <v>28473.8</v>
      </c>
      <c r="G13" s="11">
        <f t="shared" si="0"/>
        <v>0</v>
      </c>
      <c r="M13" s="11" t="s">
        <v>60</v>
      </c>
      <c r="N13" s="5">
        <v>50</v>
      </c>
      <c r="O13" s="27">
        <v>550</v>
      </c>
      <c r="P13" s="28">
        <f>O13*25%</f>
        <v>137.5</v>
      </c>
      <c r="Q13" s="28">
        <f>O13-P13</f>
        <v>412.5</v>
      </c>
      <c r="R13" s="5">
        <f>ROUND((Q13*85%),0)</f>
        <v>351</v>
      </c>
      <c r="S13" s="19">
        <v>462</v>
      </c>
      <c r="T13" s="17">
        <f>ROUND(IF(S13&gt;R13,IF(S13&gt;Q13,(Q13/0.878)*N13,(S13/0.878)*N13),(R13/0.878)*N13),2)</f>
        <v>23490.89</v>
      </c>
      <c r="U13" s="17">
        <f t="shared" si="2"/>
        <v>4950</v>
      </c>
    </row>
    <row r="14" spans="1:21" ht="14.45" x14ac:dyDescent="0.3">
      <c r="A14" s="11" t="s">
        <v>61</v>
      </c>
      <c r="B14" s="5">
        <f>ROUND(1480/12,2)</f>
        <v>123.33</v>
      </c>
      <c r="C14" s="19">
        <v>550</v>
      </c>
      <c r="D14" s="5">
        <f t="shared" si="3"/>
        <v>468</v>
      </c>
      <c r="E14" s="19">
        <v>450</v>
      </c>
      <c r="F14" s="5">
        <f t="shared" si="8"/>
        <v>57718.44</v>
      </c>
      <c r="G14" s="11">
        <f t="shared" si="0"/>
        <v>0</v>
      </c>
      <c r="M14" s="29" t="s">
        <v>61</v>
      </c>
      <c r="N14" s="5">
        <f>ROUND(1480/12,2)</f>
        <v>123.33</v>
      </c>
      <c r="O14" s="27">
        <v>100</v>
      </c>
      <c r="P14" s="28">
        <f t="shared" si="5"/>
        <v>40</v>
      </c>
      <c r="Q14" s="28">
        <f t="shared" ref="Q14:Q17" si="10">O14-P14</f>
        <v>60</v>
      </c>
      <c r="R14" s="5">
        <f t="shared" si="7"/>
        <v>51</v>
      </c>
      <c r="S14" s="19">
        <v>65</v>
      </c>
      <c r="T14" s="17">
        <f>IF(IF(S14&gt;R14,IF(S14&gt;Q14,Q14*N14,S14*N14),R14*N14)&gt;1480,IF(S14&gt;R14,IF(S14&gt;Q14,Q14*N14,S14*N14),R14*N14),1480)</f>
        <v>7399.8</v>
      </c>
      <c r="U14" s="17">
        <f t="shared" si="2"/>
        <v>1233.3</v>
      </c>
    </row>
    <row r="15" spans="1:21" ht="14.45" x14ac:dyDescent="0.3">
      <c r="A15" s="11" t="s">
        <v>50</v>
      </c>
      <c r="B15" s="5">
        <v>130</v>
      </c>
      <c r="C15" s="19">
        <v>550</v>
      </c>
      <c r="D15" s="5">
        <f t="shared" si="3"/>
        <v>468</v>
      </c>
      <c r="E15" s="19">
        <v>600</v>
      </c>
      <c r="F15" s="11">
        <f t="shared" si="8"/>
        <v>71500</v>
      </c>
      <c r="G15" s="11">
        <f t="shared" si="0"/>
        <v>13000</v>
      </c>
      <c r="M15" s="11" t="s">
        <v>50</v>
      </c>
      <c r="N15" s="5">
        <v>130</v>
      </c>
      <c r="O15" s="27">
        <v>550</v>
      </c>
      <c r="P15" s="28">
        <f>O15*30%</f>
        <v>165</v>
      </c>
      <c r="Q15" s="28">
        <f t="shared" si="10"/>
        <v>385</v>
      </c>
      <c r="R15" s="5">
        <f t="shared" si="7"/>
        <v>327</v>
      </c>
      <c r="S15" s="19">
        <v>300</v>
      </c>
      <c r="T15" s="17">
        <f>IF(S15&gt;R15,IF(S15&gt;Q15,Q15*N15,S15*N15),R15*N15)</f>
        <v>42510</v>
      </c>
      <c r="U15" s="17">
        <f t="shared" si="2"/>
        <v>0</v>
      </c>
    </row>
    <row r="16" spans="1:21" x14ac:dyDescent="0.25">
      <c r="A16" s="11" t="s">
        <v>51</v>
      </c>
      <c r="B16" s="5">
        <v>260</v>
      </c>
      <c r="C16" s="19">
        <v>550</v>
      </c>
      <c r="D16" s="5">
        <f t="shared" si="3"/>
        <v>468</v>
      </c>
      <c r="E16" s="19">
        <v>551</v>
      </c>
      <c r="F16" s="11">
        <f>ROUND(IF(E16&gt;D16,IF(E16&lt;C16,(E16/0.878)*B16,(C16/0.878)*B16),(D16/0.878)*B16),2)</f>
        <v>162870.16</v>
      </c>
      <c r="G16" s="11">
        <f t="shared" si="0"/>
        <v>520</v>
      </c>
      <c r="M16" s="11" t="s">
        <v>51</v>
      </c>
      <c r="N16" s="5">
        <v>260</v>
      </c>
      <c r="O16" s="27">
        <v>550</v>
      </c>
      <c r="P16" s="28">
        <f>O16*20%</f>
        <v>110</v>
      </c>
      <c r="Q16" s="28">
        <f t="shared" si="10"/>
        <v>440</v>
      </c>
      <c r="R16" s="5">
        <f t="shared" si="7"/>
        <v>374</v>
      </c>
      <c r="S16" s="19">
        <v>462</v>
      </c>
      <c r="T16" s="17">
        <f>ROUND(IF(S16&gt;R16,IF(S16&gt;Q16,(Q16/0.878)*N16,(S16/0.878)*N16),(R16/0.878)*N16),2)</f>
        <v>130296.13</v>
      </c>
      <c r="U16" s="17">
        <f t="shared" si="2"/>
        <v>11440</v>
      </c>
    </row>
    <row r="17" spans="1:21" ht="14.45" x14ac:dyDescent="0.3">
      <c r="A17" s="11" t="s">
        <v>52</v>
      </c>
      <c r="B17" s="5" t="s">
        <v>62</v>
      </c>
      <c r="C17" s="5"/>
      <c r="D17" s="5"/>
      <c r="E17" s="5"/>
      <c r="F17" s="5"/>
      <c r="G17" s="5"/>
      <c r="M17" s="11" t="s">
        <v>52</v>
      </c>
      <c r="N17" s="5" t="s">
        <v>73</v>
      </c>
      <c r="O17" s="5"/>
      <c r="P17" s="5"/>
      <c r="Q17" s="28">
        <f t="shared" si="10"/>
        <v>0</v>
      </c>
      <c r="R17" s="5"/>
      <c r="S17" s="5"/>
      <c r="T17" s="5"/>
      <c r="U17" s="5"/>
    </row>
    <row r="19" spans="1:21" ht="14.45" x14ac:dyDescent="0.3">
      <c r="A19" s="35" t="s">
        <v>69</v>
      </c>
      <c r="B19" s="35"/>
      <c r="C19" s="35"/>
      <c r="D19" s="35"/>
    </row>
    <row r="20" spans="1:21" ht="39.6" customHeight="1" x14ac:dyDescent="0.3">
      <c r="A20" s="34" t="s">
        <v>68</v>
      </c>
      <c r="B20" s="34"/>
      <c r="C20" s="34"/>
      <c r="D20" s="34"/>
      <c r="E20" s="34"/>
      <c r="F20" s="34"/>
      <c r="G20" s="34"/>
    </row>
    <row r="24" spans="1:21" ht="14.45" x14ac:dyDescent="0.3">
      <c r="A24" t="s">
        <v>77</v>
      </c>
    </row>
  </sheetData>
  <mergeCells count="2">
    <mergeCell ref="A20:G20"/>
    <mergeCell ref="A19:D1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1" topLeftCell="C1" activePane="topRight" state="frozen"/>
      <selection pane="topRight" activeCell="D23" sqref="D23"/>
    </sheetView>
  </sheetViews>
  <sheetFormatPr defaultRowHeight="15" x14ac:dyDescent="0.25"/>
  <cols>
    <col min="1" max="1" width="26.7109375" bestFit="1" customWidth="1"/>
    <col min="2" max="4" width="26.7109375" customWidth="1"/>
    <col min="5" max="5" width="20.85546875" bestFit="1" customWidth="1"/>
    <col min="6" max="6" width="19.28515625" bestFit="1" customWidth="1"/>
    <col min="7" max="7" width="20.85546875" bestFit="1" customWidth="1"/>
    <col min="8" max="8" width="19.7109375" bestFit="1" customWidth="1"/>
    <col min="9" max="9" width="15.85546875" bestFit="1" customWidth="1"/>
    <col min="10" max="10" width="17.7109375" style="26" bestFit="1" customWidth="1"/>
    <col min="11" max="11" width="15.85546875" customWidth="1"/>
    <col min="12" max="12" width="63.140625" bestFit="1" customWidth="1"/>
  </cols>
  <sheetData>
    <row r="1" spans="1:12" ht="14.45" x14ac:dyDescent="0.3">
      <c r="A1" s="5" t="s">
        <v>42</v>
      </c>
      <c r="B1" s="5" t="s">
        <v>80</v>
      </c>
      <c r="C1" s="5" t="s">
        <v>78</v>
      </c>
      <c r="D1" s="5" t="s">
        <v>79</v>
      </c>
      <c r="E1" s="5" t="s">
        <v>88</v>
      </c>
      <c r="F1" s="5" t="s">
        <v>46</v>
      </c>
      <c r="G1" s="5" t="s">
        <v>47</v>
      </c>
      <c r="H1" s="5" t="s">
        <v>44</v>
      </c>
      <c r="I1" s="5" t="s">
        <v>45</v>
      </c>
      <c r="J1" s="24" t="s">
        <v>81</v>
      </c>
      <c r="K1" s="20" t="s">
        <v>87</v>
      </c>
    </row>
    <row r="2" spans="1:12" ht="14.45" x14ac:dyDescent="0.3">
      <c r="A2" s="5" t="s">
        <v>39</v>
      </c>
      <c r="B2" s="5">
        <v>100000</v>
      </c>
      <c r="C2" s="5">
        <v>5010.13</v>
      </c>
      <c r="D2" s="5">
        <v>5060.6000000000004</v>
      </c>
      <c r="E2" s="22">
        <f>ROUND(D2-C2,2)*B2</f>
        <v>5047000</v>
      </c>
      <c r="F2" s="21">
        <v>520</v>
      </c>
      <c r="G2" s="21">
        <v>0</v>
      </c>
      <c r="H2" s="21">
        <f>E2*(F2/100)</f>
        <v>26244400</v>
      </c>
      <c r="I2" s="21">
        <v>0</v>
      </c>
      <c r="J2" s="25">
        <f>(H2+I2+E24)*0.09</f>
        <v>2498436.0000000005</v>
      </c>
      <c r="K2" s="23" t="s">
        <v>86</v>
      </c>
    </row>
    <row r="3" spans="1:12" ht="14.45" x14ac:dyDescent="0.3">
      <c r="A3" s="5" t="s">
        <v>43</v>
      </c>
      <c r="B3" s="5">
        <v>1000</v>
      </c>
      <c r="C3" s="5">
        <v>5010.13</v>
      </c>
      <c r="D3" s="5">
        <v>5060.6000000000004</v>
      </c>
      <c r="E3" s="22">
        <f t="shared" ref="E3:E15" si="0">ROUND(D3-C3,2)*B3</f>
        <v>50470</v>
      </c>
      <c r="F3" s="21">
        <v>710</v>
      </c>
      <c r="G3" s="21">
        <v>740</v>
      </c>
      <c r="H3" s="21">
        <f>IF(E3&lt;=100000,((F3/100)*E3),100000*(F3/100))</f>
        <v>358337</v>
      </c>
      <c r="I3" s="21">
        <f>IF(E3&gt;100000,(E3-100000)*(G3/100),0)</f>
        <v>0</v>
      </c>
      <c r="J3" s="25">
        <f>(H3+I3+E24)*0.09</f>
        <v>168690.33000000071</v>
      </c>
      <c r="K3" s="23"/>
      <c r="L3" t="s">
        <v>70</v>
      </c>
    </row>
    <row r="4" spans="1:12" ht="14.45" x14ac:dyDescent="0.3">
      <c r="A4" s="5" t="s">
        <v>32</v>
      </c>
      <c r="B4" s="5">
        <v>100000</v>
      </c>
      <c r="C4" s="5">
        <v>5010.13</v>
      </c>
      <c r="D4" s="5">
        <v>6000</v>
      </c>
      <c r="E4" s="22">
        <f t="shared" si="0"/>
        <v>98987000</v>
      </c>
      <c r="F4" s="21">
        <v>700</v>
      </c>
      <c r="G4" s="21">
        <v>720</v>
      </c>
      <c r="H4" s="21">
        <f t="shared" ref="H4:H8" si="1">IF(E4&lt;=100000,((F4/100)*E4),100000*(F4/100))</f>
        <v>700000</v>
      </c>
      <c r="I4" s="21">
        <f t="shared" ref="I4:I8" si="2">IF(E4&gt;100000,(E4-100000)*(G4/100),0)</f>
        <v>711986400</v>
      </c>
      <c r="J4" s="25">
        <f>(H4+I4)*0.09</f>
        <v>64141776</v>
      </c>
      <c r="K4" s="23"/>
      <c r="L4" t="s">
        <v>70</v>
      </c>
    </row>
    <row r="5" spans="1:12" ht="14.45" x14ac:dyDescent="0.3">
      <c r="A5" s="5" t="s">
        <v>48</v>
      </c>
      <c r="B5" s="5">
        <v>100</v>
      </c>
      <c r="C5" s="5">
        <v>22347.65</v>
      </c>
      <c r="D5" s="5">
        <v>25000.23</v>
      </c>
      <c r="E5" s="22">
        <f t="shared" si="0"/>
        <v>265258</v>
      </c>
      <c r="F5" s="21">
        <v>890</v>
      </c>
      <c r="G5" s="21">
        <v>900</v>
      </c>
      <c r="H5" s="21">
        <f>IF(E5&lt;=200000,((F5/100)*E5),200000*(F5/100))</f>
        <v>1780000</v>
      </c>
      <c r="I5" s="21">
        <f>IF(E5&gt;200000,(E5-200000)*(G5/100),0)</f>
        <v>587322</v>
      </c>
      <c r="J5" s="25">
        <f>(H5+I5)*0.09</f>
        <v>213058.97999999998</v>
      </c>
      <c r="K5" s="23"/>
      <c r="L5" t="s">
        <v>70</v>
      </c>
    </row>
    <row r="6" spans="1:12" ht="14.45" x14ac:dyDescent="0.3">
      <c r="A6" s="5" t="s">
        <v>49</v>
      </c>
      <c r="B6" s="5">
        <v>100000</v>
      </c>
      <c r="C6" s="5">
        <v>5010.13</v>
      </c>
      <c r="D6" s="5">
        <v>60000</v>
      </c>
      <c r="E6" s="22">
        <f t="shared" si="0"/>
        <v>5498987000</v>
      </c>
      <c r="F6" s="21">
        <v>870</v>
      </c>
      <c r="G6" s="21">
        <v>880</v>
      </c>
      <c r="H6" s="21">
        <f>IF(E6&lt;=200000,((F6/100)*E6),200000*(F6/100))</f>
        <v>1739999.9999999998</v>
      </c>
      <c r="I6" s="21">
        <f>IF(E6&gt;200000,(E6-200000)*(G6/100),0)</f>
        <v>48389325600.000008</v>
      </c>
      <c r="J6" s="25">
        <f>(H6+I6)*0.09</f>
        <v>4355195904.000001</v>
      </c>
      <c r="K6" s="23"/>
      <c r="L6" t="s">
        <v>70</v>
      </c>
    </row>
    <row r="7" spans="1:12" ht="14.45" x14ac:dyDescent="0.3">
      <c r="A7" s="5" t="s">
        <v>33</v>
      </c>
      <c r="B7" s="5">
        <v>100000</v>
      </c>
      <c r="C7" s="5">
        <v>5010.13</v>
      </c>
      <c r="D7" s="5">
        <v>6000</v>
      </c>
      <c r="E7" s="22">
        <f t="shared" si="0"/>
        <v>98987000</v>
      </c>
      <c r="F7" s="21">
        <v>685</v>
      </c>
      <c r="G7" s="21">
        <v>725</v>
      </c>
      <c r="H7" s="21">
        <f t="shared" si="1"/>
        <v>685000</v>
      </c>
      <c r="I7" s="21">
        <f>IF(E7&gt;100000,(E7-100000)*(G7/100),0)</f>
        <v>716930750</v>
      </c>
      <c r="J7" s="25">
        <f>(H7+I7)*0.09</f>
        <v>64585417.5</v>
      </c>
      <c r="K7" s="23"/>
      <c r="L7" t="s">
        <v>70</v>
      </c>
    </row>
    <row r="8" spans="1:12" ht="14.45" x14ac:dyDescent="0.3">
      <c r="A8" s="5" t="s">
        <v>34</v>
      </c>
      <c r="B8" s="5">
        <v>100000</v>
      </c>
      <c r="C8" s="5">
        <v>5010.13</v>
      </c>
      <c r="D8" s="5">
        <v>6000</v>
      </c>
      <c r="E8" s="22">
        <f t="shared" si="0"/>
        <v>98987000</v>
      </c>
      <c r="F8" s="21">
        <v>785</v>
      </c>
      <c r="G8" s="21">
        <v>825</v>
      </c>
      <c r="H8" s="21">
        <f t="shared" si="1"/>
        <v>785000</v>
      </c>
      <c r="I8" s="21">
        <f t="shared" si="2"/>
        <v>815817750</v>
      </c>
      <c r="J8" s="25">
        <f>(H8+I8)*0.09</f>
        <v>73494247.5</v>
      </c>
      <c r="K8" s="23"/>
      <c r="L8" t="s">
        <v>70</v>
      </c>
    </row>
    <row r="9" spans="1:12" ht="14.45" x14ac:dyDescent="0.3">
      <c r="A9" s="5" t="s">
        <v>36</v>
      </c>
      <c r="B9" s="5">
        <v>100000</v>
      </c>
      <c r="C9" s="5">
        <v>5010.13</v>
      </c>
      <c r="D9" s="5">
        <v>5060.6000000000004</v>
      </c>
      <c r="E9" s="22">
        <f t="shared" si="0"/>
        <v>5047000</v>
      </c>
      <c r="F9" s="21">
        <v>275</v>
      </c>
      <c r="G9" s="21"/>
      <c r="H9" s="21">
        <f t="shared" ref="H9:H14" si="3">E9*(F9/100)</f>
        <v>13879250</v>
      </c>
      <c r="I9" s="21"/>
      <c r="J9" s="25">
        <f>(H9+I9+E24)*0.09</f>
        <v>1385572.5000000007</v>
      </c>
      <c r="K9" s="23"/>
    </row>
    <row r="10" spans="1:12" ht="14.45" x14ac:dyDescent="0.3">
      <c r="A10" s="5" t="s">
        <v>37</v>
      </c>
      <c r="B10" s="5">
        <v>100000</v>
      </c>
      <c r="C10" s="5">
        <v>5010.13</v>
      </c>
      <c r="D10" s="5">
        <v>5060.6000000000004</v>
      </c>
      <c r="E10" s="22">
        <f t="shared" si="0"/>
        <v>5047000</v>
      </c>
      <c r="F10" s="21">
        <v>275</v>
      </c>
      <c r="G10" s="21"/>
      <c r="H10" s="21">
        <f t="shared" si="3"/>
        <v>13879250</v>
      </c>
      <c r="I10" s="21"/>
      <c r="J10" s="25">
        <f>(H10+I10)*0.09</f>
        <v>1249132.5</v>
      </c>
      <c r="K10" s="23"/>
    </row>
    <row r="11" spans="1:12" ht="14.45" x14ac:dyDescent="0.3">
      <c r="A11" s="5" t="s">
        <v>50</v>
      </c>
      <c r="B11" s="5">
        <v>100000</v>
      </c>
      <c r="C11" s="5">
        <v>5010.13</v>
      </c>
      <c r="D11" s="5">
        <v>6000</v>
      </c>
      <c r="E11" s="22">
        <f t="shared" si="0"/>
        <v>98987000</v>
      </c>
      <c r="F11" s="21">
        <v>670</v>
      </c>
      <c r="G11" s="21"/>
      <c r="H11" s="21">
        <f t="shared" si="3"/>
        <v>663212900</v>
      </c>
      <c r="I11" s="21"/>
      <c r="J11" s="25">
        <f t="shared" ref="J11:J16" si="4">(H11+I11+E33)*0.09</f>
        <v>59689161</v>
      </c>
      <c r="K11" s="23"/>
    </row>
    <row r="12" spans="1:12" x14ac:dyDescent="0.25">
      <c r="A12" s="5" t="s">
        <v>51</v>
      </c>
      <c r="B12" s="5">
        <v>100000</v>
      </c>
      <c r="C12" s="5">
        <v>5010.13</v>
      </c>
      <c r="D12" s="5">
        <v>5060.6000000000004</v>
      </c>
      <c r="E12" s="22">
        <f t="shared" si="0"/>
        <v>5047000</v>
      </c>
      <c r="F12" s="21">
        <v>1060</v>
      </c>
      <c r="G12" s="21"/>
      <c r="H12" s="21">
        <f t="shared" si="3"/>
        <v>53498200</v>
      </c>
      <c r="I12" s="21"/>
      <c r="J12" s="25">
        <f>(H12+I12)*0.09</f>
        <v>4814838</v>
      </c>
      <c r="K12" s="23"/>
    </row>
    <row r="13" spans="1:12" ht="14.45" x14ac:dyDescent="0.3">
      <c r="A13" s="5" t="s">
        <v>52</v>
      </c>
      <c r="B13" s="5">
        <v>4000</v>
      </c>
      <c r="C13" s="5">
        <v>5010.13</v>
      </c>
      <c r="D13" s="5">
        <v>5060.6000000000004</v>
      </c>
      <c r="E13" s="22">
        <f t="shared" si="0"/>
        <v>201880</v>
      </c>
      <c r="F13" s="21">
        <v>1160</v>
      </c>
      <c r="G13" s="21"/>
      <c r="H13" s="21">
        <f t="shared" si="3"/>
        <v>2341808</v>
      </c>
      <c r="I13" s="21"/>
      <c r="J13" s="25">
        <f t="shared" si="4"/>
        <v>210762.72</v>
      </c>
      <c r="K13" s="23"/>
    </row>
    <row r="14" spans="1:12" ht="14.45" x14ac:dyDescent="0.3">
      <c r="A14" s="5" t="s">
        <v>54</v>
      </c>
      <c r="B14" s="5">
        <v>100000</v>
      </c>
      <c r="C14" s="5">
        <v>5010.13</v>
      </c>
      <c r="D14" s="5">
        <v>5060.6000000000004</v>
      </c>
      <c r="E14" s="22">
        <f t="shared" si="0"/>
        <v>5047000</v>
      </c>
      <c r="F14" s="21">
        <v>520</v>
      </c>
      <c r="G14" s="21"/>
      <c r="H14" s="21">
        <f t="shared" si="3"/>
        <v>26244400</v>
      </c>
      <c r="I14" s="21"/>
      <c r="J14" s="25">
        <f>(H14+I14)*0.09</f>
        <v>2361996</v>
      </c>
      <c r="K14" s="23"/>
    </row>
    <row r="15" spans="1:12" ht="14.45" x14ac:dyDescent="0.3">
      <c r="A15" s="5" t="s">
        <v>55</v>
      </c>
      <c r="B15" s="5">
        <v>100000</v>
      </c>
      <c r="C15" s="5">
        <v>5010.13</v>
      </c>
      <c r="D15" s="5">
        <v>6000</v>
      </c>
      <c r="E15" s="22">
        <f t="shared" si="0"/>
        <v>98987000</v>
      </c>
      <c r="F15" s="21">
        <v>620</v>
      </c>
      <c r="G15" s="21"/>
      <c r="H15" s="21">
        <f t="shared" ref="H15:H16" si="5">E15*(F15/100)</f>
        <v>613719400</v>
      </c>
      <c r="I15" s="21"/>
      <c r="J15" s="25">
        <f>(H15+I15)*0.09</f>
        <v>55234746</v>
      </c>
      <c r="K15" s="23"/>
    </row>
    <row r="16" spans="1:12" ht="14.45" x14ac:dyDescent="0.3">
      <c r="A16" s="5" t="s">
        <v>56</v>
      </c>
      <c r="B16" s="5">
        <v>100000</v>
      </c>
      <c r="C16" s="5">
        <v>5010.13</v>
      </c>
      <c r="D16" s="5">
        <v>5060.6000000000004</v>
      </c>
      <c r="E16" s="22">
        <f>(D16-C16)*B16</f>
        <v>5047000.0000000251</v>
      </c>
      <c r="F16" s="21">
        <v>660</v>
      </c>
      <c r="G16" s="21"/>
      <c r="H16" s="21">
        <f t="shared" si="5"/>
        <v>33310200.000000164</v>
      </c>
      <c r="I16" s="21"/>
      <c r="J16" s="25">
        <f t="shared" si="4"/>
        <v>2997918.0000000144</v>
      </c>
      <c r="K16" s="23"/>
    </row>
    <row r="20" spans="1:8" ht="14.45" x14ac:dyDescent="0.3">
      <c r="A20" s="6" t="s">
        <v>74</v>
      </c>
      <c r="B20" s="6" t="s">
        <v>85</v>
      </c>
      <c r="C20" s="6" t="s">
        <v>78</v>
      </c>
      <c r="D20" s="6" t="s">
        <v>79</v>
      </c>
      <c r="E20" s="6" t="s">
        <v>76</v>
      </c>
      <c r="H20" s="5"/>
    </row>
    <row r="21" spans="1:8" ht="14.45" x14ac:dyDescent="0.3">
      <c r="A21" s="5" t="s">
        <v>82</v>
      </c>
      <c r="B21" s="5">
        <v>1</v>
      </c>
      <c r="C21" s="5">
        <v>1039.1099999999999</v>
      </c>
      <c r="D21" s="5">
        <v>1055.55</v>
      </c>
      <c r="E21" s="5">
        <f>(D21-C21)*B21*B4</f>
        <v>1644000.0000000054</v>
      </c>
      <c r="H21" s="5"/>
    </row>
    <row r="22" spans="1:8" ht="14.45" x14ac:dyDescent="0.3">
      <c r="A22" s="5" t="s">
        <v>83</v>
      </c>
      <c r="B22" s="5">
        <v>1</v>
      </c>
      <c r="C22" s="5">
        <v>306.25</v>
      </c>
      <c r="D22" s="5">
        <v>307.73</v>
      </c>
      <c r="E22" s="5">
        <f>(D22-C22)*B22*B4</f>
        <v>148000.0000000018</v>
      </c>
      <c r="H22" s="5"/>
    </row>
    <row r="23" spans="1:8" ht="14.45" x14ac:dyDescent="0.3">
      <c r="A23" s="5" t="s">
        <v>84</v>
      </c>
      <c r="B23" s="5">
        <v>1</v>
      </c>
      <c r="C23" s="5">
        <v>107.62</v>
      </c>
      <c r="D23" s="5">
        <v>110.38</v>
      </c>
      <c r="E23" s="5">
        <f>(D23-C23)*B23*B4</f>
        <v>275999.99999999907</v>
      </c>
      <c r="H23" s="5"/>
    </row>
    <row r="24" spans="1:8" ht="14.45" x14ac:dyDescent="0.3">
      <c r="A24" s="6" t="s">
        <v>75</v>
      </c>
      <c r="B24" s="5"/>
      <c r="C24" s="5"/>
      <c r="D24" s="5"/>
      <c r="E24" s="5">
        <f>E21+E22-E23</f>
        <v>1516000.0000000081</v>
      </c>
      <c r="H24" s="5"/>
    </row>
    <row r="25" spans="1:8" ht="14.45" x14ac:dyDescent="0.3">
      <c r="C25" s="20">
        <v>3586.93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scenarios</vt:lpstr>
      <vt:lpstr>Demand charges</vt:lpstr>
      <vt:lpstr>EC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d.umesh</dc:creator>
  <cp:lastModifiedBy>Windows User</cp:lastModifiedBy>
  <dcterms:created xsi:type="dcterms:W3CDTF">2020-05-07T05:19:22Z</dcterms:created>
  <dcterms:modified xsi:type="dcterms:W3CDTF">2020-07-23T13:41:51Z</dcterms:modified>
</cp:coreProperties>
</file>