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0" windowWidth="20730" windowHeight="11700" tabRatio="795" firstSheet="5" activeTab="5"/>
  </bookViews>
  <sheets>
    <sheet name="H.D KOTE" sheetId="50" r:id="rId1"/>
    <sheet name="MHQ06" sheetId="46" r:id="rId2"/>
    <sheet name="HKQ1" sheetId="45" r:id="rId3"/>
    <sheet name="HDTL56522" sheetId="44" r:id="rId4"/>
    <sheet name="HDTL60092" sheetId="48" r:id="rId5"/>
    <sheet name="HHDHT88" sheetId="49" r:id="rId6"/>
    <sheet name="HKQ7" sheetId="51" r:id="rId7"/>
    <sheet name="HAEH224" sheetId="52" r:id="rId8"/>
    <sheet name="HKL546" sheetId="53" r:id="rId9"/>
    <sheet name="HDTCL2809" sheetId="54" r:id="rId10"/>
    <sheet name="HKL263" sheetId="55" r:id="rId11"/>
    <sheet name="HKL351" sheetId="56" r:id="rId12"/>
    <sheet name="HKL373" sheetId="57" r:id="rId13"/>
    <sheet name="HKL77" sheetId="58" r:id="rId14"/>
    <sheet name="HKL279" sheetId="59" r:id="rId15"/>
    <sheet name="HDTL60474" sheetId="60" r:id="rId16"/>
    <sheet name="HKL2180" sheetId="61" r:id="rId17"/>
    <sheet name="HKAEH5" sheetId="62" r:id="rId18"/>
    <sheet name="HKL891" sheetId="63" r:id="rId19"/>
    <sheet name="HKL1720" sheetId="64" r:id="rId20"/>
    <sheet name="HDTL31052" sheetId="65" r:id="rId21"/>
    <sheet name="Sheet1" sheetId="47" r:id="rId22"/>
    <sheet name="Sheet1 (2)" sheetId="66" r:id="rId23"/>
    <sheet name="Reading" sheetId="67" r:id="rId24"/>
    <sheet name="May to Nov" sheetId="68" r:id="rId25"/>
  </sheets>
  <externalReferences>
    <externalReference r:id="rId26"/>
  </externalReferences>
  <definedNames>
    <definedName name="_xlnm._FilterDatabase" localSheetId="5" hidden="1">HHDHT88!$A$1:$AH$6</definedName>
    <definedName name="_xlnm._FilterDatabase" localSheetId="1" hidden="1">'MHQ06'!$B$1:$B$92</definedName>
    <definedName name="_xlnm._FilterDatabase" localSheetId="21" hidden="1">Sheet1!$A$5:$Z$146</definedName>
    <definedName name="_xlnm._FilterDatabase" localSheetId="22" hidden="1">'Sheet1 (2)'!$A$5:$AB$665</definedName>
    <definedName name="_xlnm.Print_Area" localSheetId="7">HAEH224!$A$1:$V$75</definedName>
    <definedName name="_xlnm.Print_Area" localSheetId="9">HDTCL2809!$A$1:$V$81</definedName>
    <definedName name="_xlnm.Print_Area" localSheetId="20">HDTL31052!$A$1:$V$79</definedName>
    <definedName name="_xlnm.Print_Area" localSheetId="15">HDTL60474!$A$1:$V$80</definedName>
    <definedName name="_xlnm.Print_Area" localSheetId="5">HHDHT88!$A$1:$V$101</definedName>
    <definedName name="_xlnm.Print_Area" localSheetId="17">HKAEH5!$A$1:$V$79</definedName>
    <definedName name="_xlnm.Print_Area" localSheetId="19">'HKL1720'!$A$1:$V$86</definedName>
    <definedName name="_xlnm.Print_Area" localSheetId="16">'HKL2180'!$A$1:$V$82</definedName>
    <definedName name="_xlnm.Print_Area" localSheetId="10">'HKL263'!$A$1:$V$76</definedName>
    <definedName name="_xlnm.Print_Area" localSheetId="14">'HKL279'!$A$1:$V$83</definedName>
    <definedName name="_xlnm.Print_Area" localSheetId="11">'HKL351'!$A$1:$V$74</definedName>
    <definedName name="_xlnm.Print_Area" localSheetId="12">'HKL373'!$A$1:$V$81</definedName>
    <definedName name="_xlnm.Print_Area" localSheetId="8">'HKL546'!$A$1:$V$95</definedName>
    <definedName name="_xlnm.Print_Area" localSheetId="13">'HKL77'!$A$1:$V$76</definedName>
    <definedName name="_xlnm.Print_Area" localSheetId="18">'HKL891'!$A$1:$V$81</definedName>
    <definedName name="_xlnm.Print_Area" localSheetId="6">'HKQ7'!$A$1:$V$74</definedName>
    <definedName name="_xlnm.Print_Area" localSheetId="21">Sheet1!$A$1:$AA$146</definedName>
    <definedName name="_xlnm.Print_Area" localSheetId="22">'Sheet1 (2)'!$A$1:$AC$667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5" i="49" l="1"/>
  <c r="L85" i="49"/>
  <c r="G85" i="49"/>
  <c r="R66" i="65"/>
  <c r="L66" i="65"/>
  <c r="G66" i="65"/>
  <c r="R67" i="64"/>
  <c r="L67" i="64"/>
  <c r="G67" i="64"/>
  <c r="I67" i="64" s="1"/>
  <c r="R66" i="63"/>
  <c r="L66" i="63"/>
  <c r="G66" i="63"/>
  <c r="R66" i="62"/>
  <c r="L66" i="62"/>
  <c r="G66" i="62"/>
  <c r="I66" i="62" s="1"/>
  <c r="R66" i="61"/>
  <c r="L66" i="61"/>
  <c r="G66" i="61"/>
  <c r="R66" i="60"/>
  <c r="L66" i="60"/>
  <c r="G66" i="60"/>
  <c r="R66" i="59"/>
  <c r="L66" i="59"/>
  <c r="G66" i="59"/>
  <c r="L66" i="58"/>
  <c r="G66" i="58"/>
  <c r="M66" i="57"/>
  <c r="L66" i="57"/>
  <c r="N66" i="57" s="1"/>
  <c r="G66" i="57"/>
  <c r="I66" i="57" s="1"/>
  <c r="Q66" i="56"/>
  <c r="L66" i="56"/>
  <c r="G66" i="56"/>
  <c r="R66" i="55"/>
  <c r="L66" i="55"/>
  <c r="G66" i="55"/>
  <c r="R66" i="54"/>
  <c r="L66" i="54"/>
  <c r="G66" i="54"/>
  <c r="R66" i="53"/>
  <c r="L66" i="53"/>
  <c r="G66" i="53"/>
  <c r="R66" i="52"/>
  <c r="L66" i="52"/>
  <c r="G66" i="52"/>
  <c r="R66" i="51"/>
  <c r="L66" i="51"/>
  <c r="G66" i="51"/>
  <c r="R89" i="48"/>
  <c r="L89" i="48"/>
  <c r="G89" i="48"/>
  <c r="R89" i="44"/>
  <c r="L89" i="44"/>
  <c r="G89" i="44"/>
  <c r="R89" i="45"/>
  <c r="L89" i="45"/>
  <c r="G89" i="45"/>
  <c r="R94" i="46"/>
  <c r="L94" i="46"/>
  <c r="G94" i="46"/>
  <c r="G67" i="65" l="1"/>
  <c r="L67" i="65"/>
  <c r="R67" i="65"/>
  <c r="G68" i="64"/>
  <c r="I68" i="64" s="1"/>
  <c r="L68" i="64"/>
  <c r="R68" i="64"/>
  <c r="G67" i="63"/>
  <c r="L67" i="63"/>
  <c r="R67" i="63"/>
  <c r="G67" i="62"/>
  <c r="I67" i="62" s="1"/>
  <c r="L67" i="62"/>
  <c r="R67" i="62"/>
  <c r="G67" i="61"/>
  <c r="L67" i="61"/>
  <c r="R67" i="61"/>
  <c r="G67" i="60"/>
  <c r="L67" i="60"/>
  <c r="R67" i="60"/>
  <c r="G67" i="59"/>
  <c r="L67" i="59"/>
  <c r="R67" i="59"/>
  <c r="G67" i="58"/>
  <c r="L67" i="58"/>
  <c r="G67" i="57"/>
  <c r="I67" i="57" s="1"/>
  <c r="L67" i="57"/>
  <c r="N67" i="57" s="1"/>
  <c r="M67" i="57"/>
  <c r="G67" i="56"/>
  <c r="L67" i="56"/>
  <c r="Q67" i="56"/>
  <c r="G67" i="55"/>
  <c r="L67" i="55"/>
  <c r="R67" i="55"/>
  <c r="G67" i="54"/>
  <c r="L67" i="54"/>
  <c r="R67" i="54"/>
  <c r="G67" i="53"/>
  <c r="L67" i="53"/>
  <c r="R67" i="53"/>
  <c r="G67" i="52"/>
  <c r="L67" i="52"/>
  <c r="R67" i="52"/>
  <c r="G67" i="51"/>
  <c r="L67" i="51"/>
  <c r="R67" i="51"/>
  <c r="G86" i="49"/>
  <c r="L86" i="49"/>
  <c r="R86" i="49"/>
  <c r="G90" i="48"/>
  <c r="L90" i="48"/>
  <c r="R90" i="48"/>
  <c r="G90" i="44"/>
  <c r="L90" i="44"/>
  <c r="R90" i="44"/>
  <c r="G90" i="45"/>
  <c r="L90" i="45"/>
  <c r="R90" i="45"/>
  <c r="G95" i="46"/>
  <c r="L95" i="46"/>
  <c r="R95" i="46"/>
  <c r="R64" i="65" l="1"/>
  <c r="L64" i="65"/>
  <c r="G64" i="65"/>
  <c r="R65" i="64"/>
  <c r="L65" i="64"/>
  <c r="G65" i="64"/>
  <c r="I65" i="64" s="1"/>
  <c r="R64" i="63"/>
  <c r="L64" i="63"/>
  <c r="G64" i="63"/>
  <c r="R64" i="62"/>
  <c r="L64" i="62"/>
  <c r="G64" i="62"/>
  <c r="I64" i="62" s="1"/>
  <c r="R64" i="61"/>
  <c r="L64" i="61"/>
  <c r="G64" i="61"/>
  <c r="R64" i="60"/>
  <c r="L64" i="60"/>
  <c r="G64" i="60"/>
  <c r="R64" i="59"/>
  <c r="L64" i="59"/>
  <c r="G64" i="59"/>
  <c r="L64" i="58"/>
  <c r="G64" i="58"/>
  <c r="M64" i="57"/>
  <c r="L64" i="57"/>
  <c r="N64" i="57" s="1"/>
  <c r="G64" i="57"/>
  <c r="I64" i="57" s="1"/>
  <c r="Q64" i="56"/>
  <c r="L64" i="56"/>
  <c r="G64" i="56"/>
  <c r="R64" i="55"/>
  <c r="L64" i="55"/>
  <c r="G64" i="55"/>
  <c r="R64" i="54"/>
  <c r="L64" i="54"/>
  <c r="G64" i="54"/>
  <c r="R64" i="53"/>
  <c r="L64" i="53"/>
  <c r="G64" i="53"/>
  <c r="R64" i="52"/>
  <c r="L64" i="52"/>
  <c r="G64" i="52"/>
  <c r="R64" i="51"/>
  <c r="L64" i="51"/>
  <c r="G64" i="51"/>
  <c r="R83" i="49"/>
  <c r="L83" i="49"/>
  <c r="G83" i="49"/>
  <c r="R87" i="48"/>
  <c r="L87" i="48"/>
  <c r="G87" i="48"/>
  <c r="R87" i="44"/>
  <c r="L87" i="44"/>
  <c r="G87" i="44"/>
  <c r="R87" i="45"/>
  <c r="L87" i="45"/>
  <c r="G87" i="45"/>
  <c r="R93" i="46"/>
  <c r="L93" i="46"/>
  <c r="G93" i="46"/>
  <c r="R91" i="46" l="1"/>
  <c r="L91" i="46"/>
  <c r="G91" i="46"/>
  <c r="R82" i="49" l="1"/>
  <c r="L82" i="49"/>
  <c r="G82" i="49"/>
  <c r="R85" i="45"/>
  <c r="L85" i="45"/>
  <c r="G85" i="45"/>
  <c r="G86" i="45"/>
  <c r="L86" i="45"/>
  <c r="R86" i="45"/>
  <c r="R86" i="44"/>
  <c r="L86" i="44"/>
  <c r="G86" i="44"/>
  <c r="R86" i="48"/>
  <c r="L86" i="48"/>
  <c r="G86" i="48"/>
  <c r="R63" i="51"/>
  <c r="L63" i="51"/>
  <c r="G63" i="51"/>
  <c r="R63" i="52"/>
  <c r="L63" i="52"/>
  <c r="G63" i="52"/>
  <c r="R63" i="53"/>
  <c r="L63" i="53"/>
  <c r="G63" i="53"/>
  <c r="R63" i="54"/>
  <c r="L63" i="54"/>
  <c r="G63" i="54"/>
  <c r="R63" i="55"/>
  <c r="L63" i="55"/>
  <c r="G63" i="55"/>
  <c r="Q63" i="56"/>
  <c r="L63" i="56"/>
  <c r="G63" i="56"/>
  <c r="M63" i="57"/>
  <c r="L63" i="57"/>
  <c r="N63" i="57" s="1"/>
  <c r="G63" i="57"/>
  <c r="I63" i="57" s="1"/>
  <c r="L63" i="58"/>
  <c r="G63" i="58"/>
  <c r="R63" i="59"/>
  <c r="L63" i="59"/>
  <c r="G63" i="59"/>
  <c r="R63" i="60"/>
  <c r="L63" i="60"/>
  <c r="G63" i="60"/>
  <c r="R63" i="61"/>
  <c r="L63" i="61"/>
  <c r="G63" i="61"/>
  <c r="R63" i="62"/>
  <c r="L63" i="62"/>
  <c r="G63" i="62"/>
  <c r="I63" i="62" s="1"/>
  <c r="R63" i="63"/>
  <c r="L63" i="63"/>
  <c r="G63" i="63"/>
  <c r="R64" i="64"/>
  <c r="L64" i="64"/>
  <c r="G64" i="64"/>
  <c r="I64" i="64" s="1"/>
  <c r="R63" i="65"/>
  <c r="L63" i="65"/>
  <c r="G63" i="65"/>
  <c r="T23" i="68" l="1"/>
  <c r="O23" i="68"/>
  <c r="N23" i="68"/>
  <c r="I23" i="68"/>
  <c r="T68" i="57" l="1"/>
  <c r="O68" i="57"/>
  <c r="G84" i="49" l="1"/>
  <c r="L84" i="49"/>
  <c r="R84" i="49"/>
  <c r="G90" i="46"/>
  <c r="L90" i="46"/>
  <c r="R90" i="46"/>
  <c r="G92" i="46"/>
  <c r="L92" i="46"/>
  <c r="R92" i="46"/>
  <c r="G65" i="65"/>
  <c r="L65" i="65"/>
  <c r="R65" i="65"/>
  <c r="G66" i="64"/>
  <c r="I66" i="64" s="1"/>
  <c r="L66" i="64"/>
  <c r="R66" i="64"/>
  <c r="G65" i="63"/>
  <c r="L65" i="63"/>
  <c r="R65" i="63"/>
  <c r="G65" i="62"/>
  <c r="I65" i="62" s="1"/>
  <c r="L65" i="62"/>
  <c r="R65" i="62"/>
  <c r="G65" i="61"/>
  <c r="L65" i="61"/>
  <c r="R65" i="61"/>
  <c r="G65" i="60"/>
  <c r="L65" i="60"/>
  <c r="R65" i="60"/>
  <c r="G65" i="59"/>
  <c r="L65" i="59"/>
  <c r="R65" i="59"/>
  <c r="G65" i="58"/>
  <c r="L65" i="58"/>
  <c r="M65" i="57"/>
  <c r="L65" i="57"/>
  <c r="N65" i="57" s="1"/>
  <c r="N68" i="57" s="1"/>
  <c r="G65" i="57"/>
  <c r="I65" i="57" s="1"/>
  <c r="G65" i="56"/>
  <c r="L65" i="56"/>
  <c r="Q65" i="56"/>
  <c r="G65" i="55"/>
  <c r="L65" i="55"/>
  <c r="R65" i="55"/>
  <c r="G65" i="54"/>
  <c r="L65" i="54"/>
  <c r="R65" i="54"/>
  <c r="G65" i="53"/>
  <c r="L65" i="53"/>
  <c r="R65" i="53"/>
  <c r="G65" i="52"/>
  <c r="L65" i="52"/>
  <c r="R65" i="52"/>
  <c r="G65" i="51"/>
  <c r="L65" i="51"/>
  <c r="R65" i="51"/>
  <c r="G88" i="48"/>
  <c r="L88" i="48"/>
  <c r="R88" i="48"/>
  <c r="G88" i="44"/>
  <c r="L88" i="44"/>
  <c r="R88" i="44"/>
  <c r="G88" i="45"/>
  <c r="L88" i="45"/>
  <c r="R88" i="45"/>
  <c r="R80" i="49" l="1"/>
  <c r="L80" i="49"/>
  <c r="G80" i="49"/>
  <c r="R61" i="65" l="1"/>
  <c r="L61" i="65"/>
  <c r="G61" i="65"/>
  <c r="R62" i="64"/>
  <c r="Q62" i="64"/>
  <c r="K62" i="64"/>
  <c r="L62" i="64" s="1"/>
  <c r="G62" i="64"/>
  <c r="I62" i="64" s="1"/>
  <c r="R61" i="64"/>
  <c r="Q61" i="64"/>
  <c r="K61" i="64"/>
  <c r="L61" i="64" s="1"/>
  <c r="G61" i="64"/>
  <c r="I61" i="64" s="1"/>
  <c r="R61" i="63"/>
  <c r="L61" i="63"/>
  <c r="G61" i="63"/>
  <c r="R61" i="62"/>
  <c r="L61" i="62"/>
  <c r="G61" i="62"/>
  <c r="I61" i="62" s="1"/>
  <c r="R61" i="61"/>
  <c r="L61" i="61"/>
  <c r="G61" i="61"/>
  <c r="R61" i="60"/>
  <c r="Q61" i="60"/>
  <c r="K61" i="60"/>
  <c r="L61" i="60" s="1"/>
  <c r="F61" i="60"/>
  <c r="G61" i="60" s="1"/>
  <c r="R60" i="60"/>
  <c r="Q60" i="60"/>
  <c r="K60" i="60"/>
  <c r="L60" i="60" s="1"/>
  <c r="F60" i="60"/>
  <c r="G60" i="60" s="1"/>
  <c r="R61" i="59"/>
  <c r="L61" i="59"/>
  <c r="K61" i="59"/>
  <c r="G61" i="59"/>
  <c r="R61" i="58"/>
  <c r="L61" i="58"/>
  <c r="G61" i="58"/>
  <c r="G61" i="57"/>
  <c r="I61" i="57" s="1"/>
  <c r="Q61" i="56"/>
  <c r="L61" i="56"/>
  <c r="G61" i="56"/>
  <c r="R61" i="55"/>
  <c r="L61" i="55"/>
  <c r="G61" i="55"/>
  <c r="R61" i="54"/>
  <c r="L61" i="54"/>
  <c r="G61" i="54"/>
  <c r="R61" i="53"/>
  <c r="L61" i="53"/>
  <c r="G61" i="53"/>
  <c r="R61" i="52"/>
  <c r="L61" i="52"/>
  <c r="G61" i="52"/>
  <c r="R61" i="51"/>
  <c r="L61" i="51"/>
  <c r="G61" i="51"/>
  <c r="R84" i="48"/>
  <c r="L84" i="48"/>
  <c r="G84" i="48"/>
  <c r="R84" i="44"/>
  <c r="L84" i="44"/>
  <c r="G84" i="44"/>
  <c r="R84" i="45"/>
  <c r="L84" i="45"/>
  <c r="G84" i="45"/>
  <c r="Q60" i="51" l="1"/>
  <c r="R60" i="51" s="1"/>
  <c r="L60" i="51"/>
  <c r="K60" i="51"/>
  <c r="G60" i="51"/>
  <c r="F60" i="51"/>
  <c r="R83" i="48"/>
  <c r="Q83" i="48"/>
  <c r="L83" i="48"/>
  <c r="K83" i="48"/>
  <c r="G83" i="48"/>
  <c r="F83" i="48"/>
  <c r="Q60" i="63"/>
  <c r="R60" i="63" s="1"/>
  <c r="L60" i="63"/>
  <c r="K60" i="63"/>
  <c r="G60" i="63"/>
  <c r="F60" i="63"/>
  <c r="Q83" i="44"/>
  <c r="R83" i="44" s="1"/>
  <c r="L83" i="44"/>
  <c r="K83" i="44"/>
  <c r="G83" i="44"/>
  <c r="F83" i="44"/>
  <c r="Q83" i="45"/>
  <c r="R83" i="45" s="1"/>
  <c r="L83" i="45"/>
  <c r="K83" i="45"/>
  <c r="F83" i="45"/>
  <c r="G83" i="45" s="1"/>
  <c r="R60" i="52"/>
  <c r="Q60" i="52"/>
  <c r="K60" i="52"/>
  <c r="L60" i="52" s="1"/>
  <c r="F60" i="52"/>
  <c r="G60" i="52" s="1"/>
  <c r="Q60" i="55"/>
  <c r="R60" i="55" s="1"/>
  <c r="L60" i="55"/>
  <c r="K60" i="55"/>
  <c r="G60" i="55"/>
  <c r="F60" i="55"/>
  <c r="Q60" i="62"/>
  <c r="R60" i="62" s="1"/>
  <c r="L60" i="62"/>
  <c r="K60" i="62"/>
  <c r="F60" i="62"/>
  <c r="G60" i="62" s="1"/>
  <c r="I60" i="62" s="1"/>
  <c r="Q60" i="61"/>
  <c r="R60" i="61" s="1"/>
  <c r="K60" i="61"/>
  <c r="L60" i="61" s="1"/>
  <c r="F60" i="61"/>
  <c r="G60" i="61" s="1"/>
  <c r="Q60" i="56"/>
  <c r="L60" i="56"/>
  <c r="K60" i="56"/>
  <c r="G60" i="56"/>
  <c r="F60" i="56"/>
  <c r="R60" i="53"/>
  <c r="Q60" i="53"/>
  <c r="K60" i="53"/>
  <c r="L60" i="53" s="1"/>
  <c r="F60" i="53"/>
  <c r="G60" i="53" s="1"/>
  <c r="R60" i="54"/>
  <c r="Q60" i="54"/>
  <c r="K60" i="54"/>
  <c r="L60" i="54" s="1"/>
  <c r="F60" i="54"/>
  <c r="G60" i="54" s="1"/>
  <c r="R60" i="58"/>
  <c r="Q60" i="58"/>
  <c r="K60" i="58"/>
  <c r="L60" i="58" s="1"/>
  <c r="F60" i="58"/>
  <c r="G60" i="58" s="1"/>
  <c r="F60" i="57"/>
  <c r="G60" i="57" s="1"/>
  <c r="I60" i="57" s="1"/>
  <c r="Q60" i="59" l="1"/>
  <c r="R60" i="59" s="1"/>
  <c r="K60" i="59"/>
  <c r="L60" i="59" s="1"/>
  <c r="F60" i="59"/>
  <c r="G60" i="59" s="1"/>
  <c r="Q60" i="65"/>
  <c r="R60" i="65" s="1"/>
  <c r="K60" i="65"/>
  <c r="L60" i="65" s="1"/>
  <c r="F60" i="65"/>
  <c r="G60" i="65" s="1"/>
  <c r="Q60" i="64"/>
  <c r="R60" i="64" s="1"/>
  <c r="L60" i="64"/>
  <c r="K60" i="64"/>
  <c r="F60" i="64"/>
  <c r="G60" i="64" s="1"/>
  <c r="I60" i="64" s="1"/>
  <c r="R88" i="46"/>
  <c r="Q88" i="46"/>
  <c r="K88" i="46"/>
  <c r="L88" i="46" s="1"/>
  <c r="F88" i="46"/>
  <c r="G88" i="46" s="1"/>
  <c r="R79" i="49"/>
  <c r="Q79" i="49"/>
  <c r="K79" i="49"/>
  <c r="L79" i="49" s="1"/>
  <c r="F79" i="49"/>
  <c r="G79" i="49" s="1"/>
  <c r="R62" i="65" l="1"/>
  <c r="L62" i="65"/>
  <c r="G62" i="65"/>
  <c r="R63" i="64"/>
  <c r="L63" i="64"/>
  <c r="G63" i="64"/>
  <c r="I63" i="64" s="1"/>
  <c r="R62" i="63"/>
  <c r="L62" i="63"/>
  <c r="G62" i="63"/>
  <c r="R62" i="62"/>
  <c r="L62" i="62"/>
  <c r="G62" i="62"/>
  <c r="I62" i="62" s="1"/>
  <c r="R62" i="61"/>
  <c r="L62" i="61"/>
  <c r="G62" i="61"/>
  <c r="Q62" i="60"/>
  <c r="R62" i="60" s="1"/>
  <c r="K62" i="60"/>
  <c r="L62" i="60" s="1"/>
  <c r="G62" i="60"/>
  <c r="R62" i="59"/>
  <c r="L62" i="59"/>
  <c r="G62" i="59"/>
  <c r="L62" i="58"/>
  <c r="G62" i="58"/>
  <c r="G62" i="57"/>
  <c r="I62" i="57" s="1"/>
  <c r="Q62" i="56"/>
  <c r="L62" i="56"/>
  <c r="G62" i="56"/>
  <c r="R62" i="55"/>
  <c r="L62" i="55"/>
  <c r="G62" i="55"/>
  <c r="R62" i="54"/>
  <c r="L62" i="54"/>
  <c r="G62" i="54"/>
  <c r="R62" i="53"/>
  <c r="L62" i="53"/>
  <c r="G62" i="53"/>
  <c r="R62" i="52"/>
  <c r="L62" i="52"/>
  <c r="G62" i="52"/>
  <c r="R62" i="51"/>
  <c r="L62" i="51"/>
  <c r="G62" i="51"/>
  <c r="R85" i="48"/>
  <c r="L85" i="48"/>
  <c r="G85" i="48"/>
  <c r="R85" i="44"/>
  <c r="L85" i="44"/>
  <c r="G85" i="44"/>
  <c r="R81" i="49"/>
  <c r="L81" i="49"/>
  <c r="G81" i="49"/>
  <c r="Q89" i="46"/>
  <c r="R89" i="46" s="1"/>
  <c r="K89" i="46"/>
  <c r="L89" i="46" s="1"/>
  <c r="F89" i="46"/>
  <c r="G89" i="46" s="1"/>
  <c r="P59" i="54" l="1"/>
  <c r="F82" i="44" l="1"/>
  <c r="G82" i="44"/>
  <c r="K82" i="44"/>
  <c r="L82" i="44"/>
  <c r="Q82" i="44"/>
  <c r="R82" i="44"/>
  <c r="F82" i="48"/>
  <c r="G82" i="48"/>
  <c r="K82" i="48"/>
  <c r="L82" i="48"/>
  <c r="Q82" i="48"/>
  <c r="R82" i="48"/>
  <c r="F78" i="49"/>
  <c r="G78" i="49"/>
  <c r="K78" i="49"/>
  <c r="L78" i="49"/>
  <c r="Q78" i="49"/>
  <c r="R78" i="49"/>
  <c r="F59" i="52"/>
  <c r="G59" i="52"/>
  <c r="K59" i="52"/>
  <c r="L59" i="52"/>
  <c r="Q59" i="52"/>
  <c r="R59" i="52"/>
  <c r="F59" i="53"/>
  <c r="G59" i="53"/>
  <c r="K59" i="53"/>
  <c r="L59" i="53"/>
  <c r="Q59" i="53"/>
  <c r="R59" i="53"/>
  <c r="F59" i="54"/>
  <c r="G59" i="54"/>
  <c r="K59" i="54"/>
  <c r="L59" i="54"/>
  <c r="Q59" i="54"/>
  <c r="R59" i="54"/>
  <c r="F59" i="55"/>
  <c r="G59" i="55"/>
  <c r="K59" i="55"/>
  <c r="L59" i="55"/>
  <c r="Q59" i="55"/>
  <c r="R59" i="55"/>
  <c r="F59" i="56"/>
  <c r="G59" i="56"/>
  <c r="K59" i="56"/>
  <c r="L59" i="56"/>
  <c r="Q59" i="56"/>
  <c r="F59" i="57"/>
  <c r="G59" i="57"/>
  <c r="I59" i="57" s="1"/>
  <c r="I68" i="57" s="1"/>
  <c r="F59" i="58"/>
  <c r="G59" i="58"/>
  <c r="K59" i="58"/>
  <c r="L59" i="58"/>
  <c r="Q59" i="58"/>
  <c r="R59" i="58"/>
  <c r="Q59" i="59"/>
  <c r="R59" i="59" s="1"/>
  <c r="F59" i="59"/>
  <c r="G59" i="59"/>
  <c r="K59" i="59"/>
  <c r="L59" i="59"/>
  <c r="F59" i="60"/>
  <c r="G59" i="60" s="1"/>
  <c r="K59" i="60"/>
  <c r="L59" i="60" s="1"/>
  <c r="Q59" i="60"/>
  <c r="R59" i="60" s="1"/>
  <c r="F59" i="61"/>
  <c r="G59" i="61"/>
  <c r="K59" i="61"/>
  <c r="L59" i="61"/>
  <c r="Q59" i="61"/>
  <c r="R59" i="61"/>
  <c r="F59" i="62"/>
  <c r="G59" i="62"/>
  <c r="I59" i="62" s="1"/>
  <c r="I68" i="62" s="1"/>
  <c r="K59" i="62"/>
  <c r="L59" i="62" s="1"/>
  <c r="Q59" i="62"/>
  <c r="R59" i="62"/>
  <c r="F59" i="63"/>
  <c r="G59" i="63"/>
  <c r="K59" i="63"/>
  <c r="L59" i="63"/>
  <c r="Q59" i="63"/>
  <c r="R59" i="63"/>
  <c r="F59" i="64"/>
  <c r="G59" i="64"/>
  <c r="I59" i="64" s="1"/>
  <c r="I69" i="64" s="1"/>
  <c r="K59" i="64"/>
  <c r="L59" i="64"/>
  <c r="Q59" i="64"/>
  <c r="R59" i="64"/>
  <c r="F59" i="65"/>
  <c r="G59" i="65" s="1"/>
  <c r="K59" i="65"/>
  <c r="L59" i="65" s="1"/>
  <c r="Q59" i="65"/>
  <c r="R59" i="65"/>
  <c r="F59" i="51"/>
  <c r="G59" i="51"/>
  <c r="K59" i="51"/>
  <c r="L59" i="51"/>
  <c r="Q59" i="51"/>
  <c r="R59" i="51"/>
  <c r="F82" i="45"/>
  <c r="G82" i="45"/>
  <c r="K82" i="45"/>
  <c r="L82" i="45" s="1"/>
  <c r="Q82" i="45"/>
  <c r="R82" i="45"/>
  <c r="F87" i="46"/>
  <c r="G87" i="46" s="1"/>
  <c r="K87" i="46"/>
  <c r="L87" i="46" s="1"/>
  <c r="Q87" i="46"/>
  <c r="R87" i="46" s="1"/>
  <c r="F58" i="52" l="1"/>
  <c r="G58" i="52"/>
  <c r="K58" i="52"/>
  <c r="L58" i="52"/>
  <c r="Q58" i="52"/>
  <c r="R58" i="52"/>
  <c r="F58" i="53"/>
  <c r="G58" i="53"/>
  <c r="K58" i="53"/>
  <c r="L58" i="53"/>
  <c r="Q58" i="53"/>
  <c r="R58" i="53"/>
  <c r="F58" i="54"/>
  <c r="G58" i="54"/>
  <c r="K58" i="54"/>
  <c r="L58" i="54"/>
  <c r="Q58" i="54"/>
  <c r="R58" i="54" s="1"/>
  <c r="F58" i="55"/>
  <c r="G58" i="55"/>
  <c r="K58" i="55"/>
  <c r="L58" i="55"/>
  <c r="Q58" i="55"/>
  <c r="R58" i="55"/>
  <c r="F58" i="56"/>
  <c r="G58" i="56"/>
  <c r="K58" i="56"/>
  <c r="L58" i="56"/>
  <c r="Q58" i="56"/>
  <c r="F58" i="57"/>
  <c r="G58" i="57"/>
  <c r="I58" i="57" s="1"/>
  <c r="F58" i="58"/>
  <c r="G58" i="58"/>
  <c r="L58" i="58"/>
  <c r="K58" i="58"/>
  <c r="Q58" i="58"/>
  <c r="R58" i="58"/>
  <c r="F58" i="59"/>
  <c r="G58" i="59"/>
  <c r="K58" i="59"/>
  <c r="L58" i="59"/>
  <c r="Q58" i="59"/>
  <c r="R58" i="59"/>
  <c r="F58" i="60"/>
  <c r="G58" i="60" s="1"/>
  <c r="K58" i="60"/>
  <c r="L58" i="60" s="1"/>
  <c r="Q58" i="60"/>
  <c r="R58" i="60" s="1"/>
  <c r="F58" i="61"/>
  <c r="G58" i="61"/>
  <c r="K58" i="61"/>
  <c r="L58" i="61"/>
  <c r="Q58" i="61"/>
  <c r="R58" i="61"/>
  <c r="F58" i="62"/>
  <c r="G58" i="62"/>
  <c r="I58" i="62"/>
  <c r="K58" i="62"/>
  <c r="L58" i="62"/>
  <c r="Q58" i="62"/>
  <c r="R58" i="62"/>
  <c r="F58" i="63"/>
  <c r="G58" i="63"/>
  <c r="K58" i="63"/>
  <c r="L58" i="63"/>
  <c r="Q58" i="63"/>
  <c r="R58" i="63"/>
  <c r="F58" i="64"/>
  <c r="G58" i="64"/>
  <c r="I58" i="64"/>
  <c r="K58" i="64"/>
  <c r="L58" i="64"/>
  <c r="Q58" i="64"/>
  <c r="R58" i="64"/>
  <c r="F58" i="65"/>
  <c r="G58" i="65"/>
  <c r="K58" i="65"/>
  <c r="L58" i="65"/>
  <c r="R58" i="65"/>
  <c r="Q58" i="65"/>
  <c r="F58" i="51"/>
  <c r="G58" i="51"/>
  <c r="K58" i="51"/>
  <c r="L58" i="51"/>
  <c r="Q58" i="51"/>
  <c r="R58" i="51" s="1"/>
  <c r="F77" i="49"/>
  <c r="G77" i="49"/>
  <c r="K77" i="49"/>
  <c r="L77" i="49"/>
  <c r="Q77" i="49"/>
  <c r="R77" i="49"/>
  <c r="F81" i="48"/>
  <c r="G81" i="48"/>
  <c r="K81" i="48"/>
  <c r="L81" i="48"/>
  <c r="Q81" i="48"/>
  <c r="R81" i="48"/>
  <c r="F81" i="44"/>
  <c r="G81" i="44"/>
  <c r="K81" i="44"/>
  <c r="L81" i="44"/>
  <c r="Q81" i="44"/>
  <c r="R81" i="44"/>
  <c r="F81" i="45"/>
  <c r="G81" i="45"/>
  <c r="K81" i="45"/>
  <c r="L81" i="45"/>
  <c r="Q81" i="45"/>
  <c r="R81" i="45"/>
  <c r="F86" i="46"/>
  <c r="G86" i="46" s="1"/>
  <c r="K86" i="46"/>
  <c r="L86" i="46"/>
  <c r="Q86" i="46"/>
  <c r="R86" i="46" s="1"/>
  <c r="P57" i="65" l="1"/>
  <c r="J57" i="65"/>
  <c r="E57" i="65"/>
  <c r="J57" i="58"/>
  <c r="P57" i="58"/>
  <c r="E57" i="58"/>
  <c r="F57" i="51" l="1"/>
  <c r="G57" i="51" s="1"/>
  <c r="K57" i="51"/>
  <c r="L57" i="51" s="1"/>
  <c r="Q57" i="51"/>
  <c r="R57" i="51" s="1"/>
  <c r="F57" i="52"/>
  <c r="G57" i="52"/>
  <c r="K57" i="52"/>
  <c r="L57" i="52"/>
  <c r="Q57" i="52"/>
  <c r="R57" i="52"/>
  <c r="F57" i="53"/>
  <c r="G57" i="53"/>
  <c r="K57" i="53"/>
  <c r="L57" i="53"/>
  <c r="Q57" i="53"/>
  <c r="R57" i="53"/>
  <c r="F57" i="54"/>
  <c r="G57" i="54"/>
  <c r="K57" i="54"/>
  <c r="L57" i="54"/>
  <c r="Q57" i="54"/>
  <c r="R57" i="54"/>
  <c r="F57" i="55"/>
  <c r="G57" i="55"/>
  <c r="K57" i="55"/>
  <c r="L57" i="55"/>
  <c r="Q57" i="55"/>
  <c r="R57" i="55"/>
  <c r="F57" i="56"/>
  <c r="G57" i="56"/>
  <c r="K57" i="56"/>
  <c r="L57" i="56"/>
  <c r="Q57" i="56"/>
  <c r="F57" i="57"/>
  <c r="G57" i="57"/>
  <c r="I57" i="57"/>
  <c r="F57" i="58"/>
  <c r="G57" i="58"/>
  <c r="K57" i="58"/>
  <c r="L57" i="58"/>
  <c r="Q57" i="58"/>
  <c r="R57" i="58"/>
  <c r="F57" i="59"/>
  <c r="G57" i="59"/>
  <c r="K57" i="59"/>
  <c r="L57" i="59"/>
  <c r="Q57" i="59"/>
  <c r="R57" i="59"/>
  <c r="F57" i="60"/>
  <c r="G57" i="60" s="1"/>
  <c r="K57" i="60"/>
  <c r="L57" i="60"/>
  <c r="Q57" i="60"/>
  <c r="R57" i="60" s="1"/>
  <c r="F57" i="61"/>
  <c r="G57" i="61"/>
  <c r="K57" i="61"/>
  <c r="L57" i="61"/>
  <c r="Q57" i="61"/>
  <c r="R57" i="61"/>
  <c r="F57" i="62"/>
  <c r="G57" i="62"/>
  <c r="I57" i="62"/>
  <c r="K57" i="62"/>
  <c r="L57" i="62"/>
  <c r="Q57" i="62"/>
  <c r="R57" i="62"/>
  <c r="F57" i="63"/>
  <c r="G57" i="63"/>
  <c r="K57" i="63"/>
  <c r="L57" i="63"/>
  <c r="Q57" i="63"/>
  <c r="R57" i="63"/>
  <c r="F57" i="64"/>
  <c r="G57" i="64"/>
  <c r="I57" i="64"/>
  <c r="K57" i="64"/>
  <c r="L57" i="64"/>
  <c r="Q57" i="64"/>
  <c r="R57" i="64"/>
  <c r="F57" i="65"/>
  <c r="G57" i="65" s="1"/>
  <c r="K57" i="65"/>
  <c r="L57" i="65" s="1"/>
  <c r="Q57" i="65"/>
  <c r="R57" i="65"/>
  <c r="F76" i="49"/>
  <c r="G76" i="49"/>
  <c r="K76" i="49"/>
  <c r="L76" i="49"/>
  <c r="Q76" i="49"/>
  <c r="R76" i="49"/>
  <c r="K80" i="48"/>
  <c r="L80" i="48"/>
  <c r="Q80" i="48"/>
  <c r="R80" i="48"/>
  <c r="F80" i="48"/>
  <c r="G80" i="48"/>
  <c r="G80" i="44"/>
  <c r="F80" i="44"/>
  <c r="L80" i="44"/>
  <c r="K80" i="44"/>
  <c r="Q80" i="44"/>
  <c r="R80" i="44"/>
  <c r="Q80" i="45"/>
  <c r="R80" i="45"/>
  <c r="K80" i="45"/>
  <c r="L80" i="45" s="1"/>
  <c r="F80" i="45"/>
  <c r="G80" i="45"/>
  <c r="F85" i="46"/>
  <c r="G85" i="46" s="1"/>
  <c r="K85" i="46"/>
  <c r="L85" i="46" s="1"/>
  <c r="Q85" i="46"/>
  <c r="R85" i="46" s="1"/>
  <c r="P78" i="44" l="1"/>
  <c r="J78" i="44"/>
  <c r="E78" i="44"/>
  <c r="F55" i="65" l="1"/>
  <c r="G55" i="65" s="1"/>
  <c r="K55" i="65"/>
  <c r="L55" i="65" s="1"/>
  <c r="Q55" i="65"/>
  <c r="R55" i="65"/>
  <c r="F55" i="64"/>
  <c r="G55" i="64" s="1"/>
  <c r="I55" i="64" s="1"/>
  <c r="K55" i="64"/>
  <c r="L55" i="64" s="1"/>
  <c r="Q55" i="64"/>
  <c r="R55" i="64" s="1"/>
  <c r="F55" i="63"/>
  <c r="G55" i="63" s="1"/>
  <c r="K55" i="63"/>
  <c r="L55" i="63" s="1"/>
  <c r="Q55" i="63"/>
  <c r="R55" i="63"/>
  <c r="F55" i="62"/>
  <c r="G55" i="62" s="1"/>
  <c r="I55" i="62" s="1"/>
  <c r="K55" i="62"/>
  <c r="L55" i="62" s="1"/>
  <c r="Q55" i="62"/>
  <c r="R55" i="62" s="1"/>
  <c r="F55" i="61"/>
  <c r="G55" i="61" s="1"/>
  <c r="K55" i="61"/>
  <c r="L55" i="61" s="1"/>
  <c r="Q55" i="61"/>
  <c r="R55" i="61"/>
  <c r="F55" i="60"/>
  <c r="G55" i="60" s="1"/>
  <c r="K55" i="60"/>
  <c r="L55" i="60" s="1"/>
  <c r="Q55" i="60"/>
  <c r="R55" i="60"/>
  <c r="F55" i="59"/>
  <c r="G55" i="59"/>
  <c r="K55" i="59"/>
  <c r="L55" i="59"/>
  <c r="Q55" i="59"/>
  <c r="R55" i="59"/>
  <c r="F55" i="58"/>
  <c r="G55" i="58"/>
  <c r="K55" i="58"/>
  <c r="L55" i="58"/>
  <c r="Q55" i="58"/>
  <c r="R55" i="58"/>
  <c r="F55" i="57"/>
  <c r="G55" i="57" s="1"/>
  <c r="I55" i="57" s="1"/>
  <c r="F55" i="56"/>
  <c r="G55" i="56" s="1"/>
  <c r="K55" i="56"/>
  <c r="L55" i="56"/>
  <c r="Q55" i="56"/>
  <c r="F55" i="55"/>
  <c r="G55" i="55" s="1"/>
  <c r="K55" i="55"/>
  <c r="L55" i="55" s="1"/>
  <c r="Q55" i="55"/>
  <c r="R55" i="55"/>
  <c r="F55" i="54"/>
  <c r="G55" i="54" s="1"/>
  <c r="K55" i="54"/>
  <c r="L55" i="54" s="1"/>
  <c r="Q55" i="54"/>
  <c r="R55" i="54"/>
  <c r="F55" i="53"/>
  <c r="G55" i="53" s="1"/>
  <c r="K55" i="53"/>
  <c r="L55" i="53"/>
  <c r="Q55" i="53"/>
  <c r="R55" i="53" s="1"/>
  <c r="F55" i="52"/>
  <c r="G55" i="52"/>
  <c r="K55" i="52"/>
  <c r="L55" i="52"/>
  <c r="Q55" i="52"/>
  <c r="R55" i="52"/>
  <c r="F55" i="51"/>
  <c r="G55" i="51"/>
  <c r="K55" i="51"/>
  <c r="L55" i="51"/>
  <c r="Q55" i="51"/>
  <c r="R55" i="51"/>
  <c r="F78" i="44"/>
  <c r="G78" i="44"/>
  <c r="K78" i="44"/>
  <c r="L78" i="44"/>
  <c r="Q78" i="44"/>
  <c r="R78" i="44"/>
  <c r="F78" i="45"/>
  <c r="G78" i="45"/>
  <c r="K78" i="45"/>
  <c r="L78" i="45" s="1"/>
  <c r="Q78" i="45"/>
  <c r="R78" i="45"/>
  <c r="F83" i="46"/>
  <c r="G83" i="46" s="1"/>
  <c r="K83" i="46"/>
  <c r="L83" i="46" s="1"/>
  <c r="Q83" i="46"/>
  <c r="R83" i="46" s="1"/>
  <c r="Q77" i="45" l="1"/>
  <c r="K72" i="49" l="1"/>
  <c r="J74" i="48"/>
  <c r="P74" i="48"/>
  <c r="Q75" i="48" s="1"/>
  <c r="R75" i="48" s="1"/>
  <c r="E74" i="48"/>
  <c r="F51" i="51"/>
  <c r="G51" i="51" s="1"/>
  <c r="K51" i="51"/>
  <c r="L51" i="51" s="1"/>
  <c r="Q51" i="51"/>
  <c r="R51" i="51" s="1"/>
  <c r="F52" i="51"/>
  <c r="G52" i="51" s="1"/>
  <c r="K52" i="51"/>
  <c r="L52" i="51" s="1"/>
  <c r="Q52" i="51"/>
  <c r="R52" i="51" s="1"/>
  <c r="F53" i="51"/>
  <c r="G53" i="51" s="1"/>
  <c r="K53" i="51"/>
  <c r="L53" i="51" s="1"/>
  <c r="Q53" i="51"/>
  <c r="R53" i="51" s="1"/>
  <c r="F54" i="51"/>
  <c r="G54" i="51" s="1"/>
  <c r="K54" i="51"/>
  <c r="L54" i="51" s="1"/>
  <c r="Q54" i="51"/>
  <c r="R54" i="51" s="1"/>
  <c r="F51" i="52"/>
  <c r="G51" i="52" s="1"/>
  <c r="K51" i="52"/>
  <c r="L51" i="52" s="1"/>
  <c r="Q51" i="52"/>
  <c r="R51" i="52" s="1"/>
  <c r="F52" i="52"/>
  <c r="G52" i="52" s="1"/>
  <c r="K52" i="52"/>
  <c r="L52" i="52" s="1"/>
  <c r="Q52" i="52"/>
  <c r="R52" i="52" s="1"/>
  <c r="F53" i="52"/>
  <c r="G53" i="52" s="1"/>
  <c r="K53" i="52"/>
  <c r="L53" i="52" s="1"/>
  <c r="Q53" i="52"/>
  <c r="R53" i="52" s="1"/>
  <c r="F54" i="52"/>
  <c r="G54" i="52" s="1"/>
  <c r="K54" i="52"/>
  <c r="L54" i="52" s="1"/>
  <c r="Q54" i="52"/>
  <c r="R54" i="52" s="1"/>
  <c r="F51" i="53"/>
  <c r="G51" i="53" s="1"/>
  <c r="K51" i="53"/>
  <c r="L51" i="53" s="1"/>
  <c r="Q51" i="53"/>
  <c r="R51" i="53" s="1"/>
  <c r="F52" i="53"/>
  <c r="G52" i="53" s="1"/>
  <c r="K52" i="53"/>
  <c r="L52" i="53" s="1"/>
  <c r="Q52" i="53"/>
  <c r="R52" i="53" s="1"/>
  <c r="F53" i="53"/>
  <c r="G53" i="53" s="1"/>
  <c r="K53" i="53"/>
  <c r="L53" i="53" s="1"/>
  <c r="Q53" i="53"/>
  <c r="R53" i="53" s="1"/>
  <c r="F54" i="53"/>
  <c r="G54" i="53" s="1"/>
  <c r="K54" i="53"/>
  <c r="L54" i="53" s="1"/>
  <c r="Q54" i="53"/>
  <c r="R54" i="53" s="1"/>
  <c r="F51" i="54"/>
  <c r="G51" i="54" s="1"/>
  <c r="K51" i="54"/>
  <c r="L51" i="54" s="1"/>
  <c r="Q51" i="54"/>
  <c r="R51" i="54" s="1"/>
  <c r="F52" i="54"/>
  <c r="G52" i="54" s="1"/>
  <c r="K52" i="54"/>
  <c r="L52" i="54" s="1"/>
  <c r="Q52" i="54"/>
  <c r="R52" i="54" s="1"/>
  <c r="F53" i="54"/>
  <c r="G53" i="54" s="1"/>
  <c r="K53" i="54"/>
  <c r="L53" i="54" s="1"/>
  <c r="Q53" i="54"/>
  <c r="R53" i="54" s="1"/>
  <c r="F54" i="54"/>
  <c r="G54" i="54" s="1"/>
  <c r="K54" i="54"/>
  <c r="L54" i="54" s="1"/>
  <c r="Q54" i="54"/>
  <c r="R54" i="54" s="1"/>
  <c r="F51" i="55"/>
  <c r="G51" i="55" s="1"/>
  <c r="K51" i="55"/>
  <c r="L51" i="55" s="1"/>
  <c r="Q51" i="55"/>
  <c r="R51" i="55" s="1"/>
  <c r="F52" i="55"/>
  <c r="G52" i="55" s="1"/>
  <c r="K52" i="55"/>
  <c r="L52" i="55" s="1"/>
  <c r="Q52" i="55"/>
  <c r="R52" i="55" s="1"/>
  <c r="F53" i="55"/>
  <c r="G53" i="55" s="1"/>
  <c r="K53" i="55"/>
  <c r="L53" i="55" s="1"/>
  <c r="Q53" i="55"/>
  <c r="R53" i="55" s="1"/>
  <c r="F54" i="55"/>
  <c r="G54" i="55" s="1"/>
  <c r="K54" i="55"/>
  <c r="L54" i="55" s="1"/>
  <c r="Q54" i="55"/>
  <c r="R54" i="55" s="1"/>
  <c r="F51" i="56"/>
  <c r="G51" i="56" s="1"/>
  <c r="K51" i="56"/>
  <c r="L51" i="56" s="1"/>
  <c r="Q51" i="56"/>
  <c r="R51" i="56" s="1"/>
  <c r="F52" i="56"/>
  <c r="G52" i="56" s="1"/>
  <c r="K52" i="56"/>
  <c r="L52" i="56" s="1"/>
  <c r="Q52" i="56"/>
  <c r="F53" i="56"/>
  <c r="G53" i="56" s="1"/>
  <c r="K53" i="56"/>
  <c r="L53" i="56" s="1"/>
  <c r="Q53" i="56"/>
  <c r="F54" i="56"/>
  <c r="G54" i="56" s="1"/>
  <c r="K54" i="56"/>
  <c r="L54" i="56" s="1"/>
  <c r="Q54" i="56"/>
  <c r="F51" i="57"/>
  <c r="G51" i="57" s="1"/>
  <c r="I51" i="57" s="1"/>
  <c r="F52" i="57"/>
  <c r="G52" i="57" s="1"/>
  <c r="I52" i="57" s="1"/>
  <c r="F53" i="57"/>
  <c r="G53" i="57" s="1"/>
  <c r="I53" i="57" s="1"/>
  <c r="F54" i="57"/>
  <c r="G54" i="57" s="1"/>
  <c r="I54" i="57" s="1"/>
  <c r="F51" i="58"/>
  <c r="G51" i="58" s="1"/>
  <c r="K51" i="58"/>
  <c r="L51" i="58" s="1"/>
  <c r="Q51" i="58"/>
  <c r="R51" i="58" s="1"/>
  <c r="F52" i="58"/>
  <c r="G52" i="58" s="1"/>
  <c r="K52" i="58"/>
  <c r="L52" i="58" s="1"/>
  <c r="Q52" i="58"/>
  <c r="R52" i="58" s="1"/>
  <c r="F53" i="58"/>
  <c r="G53" i="58" s="1"/>
  <c r="K53" i="58"/>
  <c r="L53" i="58" s="1"/>
  <c r="Q53" i="58"/>
  <c r="R53" i="58" s="1"/>
  <c r="F54" i="58"/>
  <c r="G54" i="58" s="1"/>
  <c r="K54" i="58"/>
  <c r="L54" i="58" s="1"/>
  <c r="Q54" i="58"/>
  <c r="R54" i="58" s="1"/>
  <c r="F51" i="59"/>
  <c r="G51" i="59" s="1"/>
  <c r="K51" i="59"/>
  <c r="L51" i="59" s="1"/>
  <c r="Q51" i="59"/>
  <c r="R51" i="59" s="1"/>
  <c r="F52" i="59"/>
  <c r="G52" i="59" s="1"/>
  <c r="K52" i="59"/>
  <c r="L52" i="59" s="1"/>
  <c r="Q52" i="59"/>
  <c r="R52" i="59" s="1"/>
  <c r="F53" i="59"/>
  <c r="G53" i="59" s="1"/>
  <c r="K53" i="59"/>
  <c r="L53" i="59" s="1"/>
  <c r="Q53" i="59"/>
  <c r="R53" i="59" s="1"/>
  <c r="F54" i="59"/>
  <c r="G54" i="59" s="1"/>
  <c r="K54" i="59"/>
  <c r="L54" i="59" s="1"/>
  <c r="Q54" i="59"/>
  <c r="R54" i="59" s="1"/>
  <c r="F51" i="60"/>
  <c r="G51" i="60" s="1"/>
  <c r="K51" i="60"/>
  <c r="L51" i="60" s="1"/>
  <c r="Q51" i="60"/>
  <c r="R51" i="60" s="1"/>
  <c r="F52" i="60"/>
  <c r="G52" i="60" s="1"/>
  <c r="K52" i="60"/>
  <c r="L52" i="60" s="1"/>
  <c r="Q52" i="60"/>
  <c r="R52" i="60" s="1"/>
  <c r="F53" i="60"/>
  <c r="G53" i="60" s="1"/>
  <c r="K53" i="60"/>
  <c r="L53" i="60" s="1"/>
  <c r="Q53" i="60"/>
  <c r="R53" i="60" s="1"/>
  <c r="F54" i="60"/>
  <c r="G54" i="60" s="1"/>
  <c r="K54" i="60"/>
  <c r="L54" i="60" s="1"/>
  <c r="Q54" i="60"/>
  <c r="R54" i="60" s="1"/>
  <c r="F51" i="61"/>
  <c r="G51" i="61" s="1"/>
  <c r="K51" i="61"/>
  <c r="L51" i="61" s="1"/>
  <c r="Q51" i="61"/>
  <c r="R51" i="61" s="1"/>
  <c r="F52" i="61"/>
  <c r="G52" i="61" s="1"/>
  <c r="K52" i="61"/>
  <c r="L52" i="61" s="1"/>
  <c r="Q52" i="61"/>
  <c r="R52" i="61" s="1"/>
  <c r="F53" i="61"/>
  <c r="G53" i="61" s="1"/>
  <c r="K53" i="61"/>
  <c r="L53" i="61" s="1"/>
  <c r="Q53" i="61"/>
  <c r="R53" i="61" s="1"/>
  <c r="F54" i="61"/>
  <c r="G54" i="61" s="1"/>
  <c r="K54" i="61"/>
  <c r="L54" i="61" s="1"/>
  <c r="Q54" i="61"/>
  <c r="R54" i="61" s="1"/>
  <c r="F51" i="62"/>
  <c r="G51" i="62" s="1"/>
  <c r="I51" i="62" s="1"/>
  <c r="K51" i="62"/>
  <c r="L51" i="62" s="1"/>
  <c r="Q51" i="62"/>
  <c r="R51" i="62" s="1"/>
  <c r="F52" i="62"/>
  <c r="G52" i="62" s="1"/>
  <c r="I52" i="62" s="1"/>
  <c r="K52" i="62"/>
  <c r="L52" i="62" s="1"/>
  <c r="Q52" i="62"/>
  <c r="R52" i="62" s="1"/>
  <c r="F53" i="62"/>
  <c r="G53" i="62" s="1"/>
  <c r="I53" i="62" s="1"/>
  <c r="K53" i="62"/>
  <c r="L53" i="62" s="1"/>
  <c r="Q53" i="62"/>
  <c r="R53" i="62" s="1"/>
  <c r="F54" i="62"/>
  <c r="G54" i="62" s="1"/>
  <c r="I54" i="62" s="1"/>
  <c r="K54" i="62"/>
  <c r="L54" i="62" s="1"/>
  <c r="Q54" i="62"/>
  <c r="R54" i="62" s="1"/>
  <c r="F51" i="63"/>
  <c r="G51" i="63" s="1"/>
  <c r="K51" i="63"/>
  <c r="L51" i="63" s="1"/>
  <c r="Q51" i="63"/>
  <c r="R51" i="63" s="1"/>
  <c r="F52" i="63"/>
  <c r="G52" i="63" s="1"/>
  <c r="K52" i="63"/>
  <c r="L52" i="63" s="1"/>
  <c r="Q52" i="63"/>
  <c r="R52" i="63" s="1"/>
  <c r="F53" i="63"/>
  <c r="G53" i="63" s="1"/>
  <c r="K53" i="63"/>
  <c r="L53" i="63" s="1"/>
  <c r="Q53" i="63"/>
  <c r="R53" i="63" s="1"/>
  <c r="F54" i="63"/>
  <c r="G54" i="63" s="1"/>
  <c r="K54" i="63"/>
  <c r="L54" i="63" s="1"/>
  <c r="Q54" i="63"/>
  <c r="R54" i="63" s="1"/>
  <c r="F52" i="64"/>
  <c r="G52" i="64" s="1"/>
  <c r="I52" i="64" s="1"/>
  <c r="K52" i="64"/>
  <c r="L52" i="64" s="1"/>
  <c r="Q52" i="64"/>
  <c r="R52" i="64" s="1"/>
  <c r="F53" i="64"/>
  <c r="G53" i="64" s="1"/>
  <c r="I53" i="64" s="1"/>
  <c r="K53" i="64"/>
  <c r="L53" i="64" s="1"/>
  <c r="Q53" i="64"/>
  <c r="R53" i="64" s="1"/>
  <c r="F54" i="64"/>
  <c r="G54" i="64" s="1"/>
  <c r="I54" i="64" s="1"/>
  <c r="K54" i="64"/>
  <c r="L54" i="64" s="1"/>
  <c r="Q54" i="64"/>
  <c r="R54" i="64" s="1"/>
  <c r="F51" i="64"/>
  <c r="G51" i="64"/>
  <c r="I51" i="64" s="1"/>
  <c r="K51" i="64"/>
  <c r="L51" i="64" s="1"/>
  <c r="Q51" i="64"/>
  <c r="R51" i="64"/>
  <c r="F52" i="65"/>
  <c r="G52" i="65" s="1"/>
  <c r="K52" i="65"/>
  <c r="L52" i="65" s="1"/>
  <c r="Q52" i="65"/>
  <c r="R52" i="65" s="1"/>
  <c r="F53" i="65"/>
  <c r="G53" i="65" s="1"/>
  <c r="K53" i="65"/>
  <c r="L53" i="65" s="1"/>
  <c r="Q53" i="65"/>
  <c r="R53" i="65" s="1"/>
  <c r="F54" i="65"/>
  <c r="G54" i="65" s="1"/>
  <c r="K54" i="65"/>
  <c r="L54" i="65" s="1"/>
  <c r="Q54" i="65"/>
  <c r="R54" i="65" s="1"/>
  <c r="F51" i="65"/>
  <c r="G51" i="65" s="1"/>
  <c r="K51" i="65"/>
  <c r="L51" i="65" s="1"/>
  <c r="Q51" i="65"/>
  <c r="R51" i="65"/>
  <c r="F71" i="49"/>
  <c r="G71" i="49" s="1"/>
  <c r="K71" i="49"/>
  <c r="L71" i="49" s="1"/>
  <c r="Q71" i="49"/>
  <c r="R71" i="49" s="1"/>
  <c r="F72" i="49"/>
  <c r="G72" i="49" s="1"/>
  <c r="L72" i="49"/>
  <c r="Q72" i="49"/>
  <c r="R72" i="49" s="1"/>
  <c r="F73" i="49"/>
  <c r="G73" i="49" s="1"/>
  <c r="K73" i="49"/>
  <c r="L73" i="49" s="1"/>
  <c r="Q73" i="49"/>
  <c r="R73" i="49" s="1"/>
  <c r="F74" i="49"/>
  <c r="G74" i="49" s="1"/>
  <c r="K74" i="49"/>
  <c r="L74" i="49" s="1"/>
  <c r="Q74" i="49"/>
  <c r="R74" i="49" s="1"/>
  <c r="F70" i="49"/>
  <c r="G70" i="49" s="1"/>
  <c r="K70" i="49"/>
  <c r="L70" i="49"/>
  <c r="Q70" i="49"/>
  <c r="R70" i="49" s="1"/>
  <c r="F74" i="48"/>
  <c r="K74" i="48"/>
  <c r="L74" i="48" s="1"/>
  <c r="Q74" i="48"/>
  <c r="R74" i="48" s="1"/>
  <c r="F75" i="48"/>
  <c r="G75" i="48" s="1"/>
  <c r="K75" i="48"/>
  <c r="L75" i="48" s="1"/>
  <c r="F76" i="48"/>
  <c r="G76" i="48" s="1"/>
  <c r="K76" i="48"/>
  <c r="L76" i="48" s="1"/>
  <c r="Q76" i="48"/>
  <c r="R76" i="48" s="1"/>
  <c r="F77" i="48"/>
  <c r="G77" i="48" s="1"/>
  <c r="K77" i="48"/>
  <c r="L77" i="48" s="1"/>
  <c r="Q77" i="48"/>
  <c r="R77" i="48" s="1"/>
  <c r="F78" i="48"/>
  <c r="G78" i="48" s="1"/>
  <c r="K78" i="48"/>
  <c r="L78" i="48" s="1"/>
  <c r="Q78" i="48"/>
  <c r="R78" i="48" s="1"/>
  <c r="F75" i="44"/>
  <c r="G75" i="44" s="1"/>
  <c r="K75" i="44"/>
  <c r="L75" i="44" s="1"/>
  <c r="Q75" i="44"/>
  <c r="R75" i="44" s="1"/>
  <c r="F76" i="44"/>
  <c r="G76" i="44" s="1"/>
  <c r="K76" i="44"/>
  <c r="L76" i="44" s="1"/>
  <c r="Q76" i="44"/>
  <c r="R76" i="44" s="1"/>
  <c r="F77" i="44"/>
  <c r="G77" i="44" s="1"/>
  <c r="K77" i="44"/>
  <c r="L77" i="44" s="1"/>
  <c r="Q77" i="44"/>
  <c r="R77" i="44" s="1"/>
  <c r="F74" i="44"/>
  <c r="G74" i="44" s="1"/>
  <c r="K74" i="44"/>
  <c r="L74" i="44" s="1"/>
  <c r="Q74" i="44"/>
  <c r="R74" i="44" s="1"/>
  <c r="F75" i="45"/>
  <c r="G75" i="45" s="1"/>
  <c r="K75" i="45"/>
  <c r="L75" i="45" s="1"/>
  <c r="Q75" i="45"/>
  <c r="R75" i="45" s="1"/>
  <c r="F76" i="45"/>
  <c r="G76" i="45" s="1"/>
  <c r="K76" i="45"/>
  <c r="L76" i="45" s="1"/>
  <c r="Q76" i="45"/>
  <c r="R76" i="45" s="1"/>
  <c r="F77" i="45"/>
  <c r="G77" i="45" s="1"/>
  <c r="K77" i="45"/>
  <c r="L77" i="45" s="1"/>
  <c r="R77" i="45"/>
  <c r="F74" i="45"/>
  <c r="G74" i="45" s="1"/>
  <c r="K74" i="45"/>
  <c r="L74" i="45"/>
  <c r="Q74" i="45"/>
  <c r="R74" i="45" s="1"/>
  <c r="G74" i="48" l="1"/>
  <c r="F80" i="46"/>
  <c r="G80" i="46" s="1"/>
  <c r="K80" i="46"/>
  <c r="L80" i="46" s="1"/>
  <c r="Q80" i="46"/>
  <c r="R80" i="46" s="1"/>
  <c r="F81" i="46"/>
  <c r="G81" i="46" s="1"/>
  <c r="K81" i="46"/>
  <c r="L81" i="46" s="1"/>
  <c r="Q81" i="46"/>
  <c r="R81" i="46" s="1"/>
  <c r="F82" i="46"/>
  <c r="G82" i="46" s="1"/>
  <c r="K82" i="46"/>
  <c r="L82" i="46" s="1"/>
  <c r="Q82" i="46"/>
  <c r="R82" i="46" s="1"/>
  <c r="F79" i="46"/>
  <c r="G79" i="46" s="1"/>
  <c r="K79" i="46"/>
  <c r="L79" i="46" s="1"/>
  <c r="Q79" i="46"/>
  <c r="R79" i="46" s="1"/>
  <c r="F50" i="65"/>
  <c r="G50" i="65" s="1"/>
  <c r="K50" i="65"/>
  <c r="L50" i="65"/>
  <c r="Q50" i="65"/>
  <c r="R50" i="65" s="1"/>
  <c r="F50" i="64"/>
  <c r="G50" i="64" s="1"/>
  <c r="I50" i="64" s="1"/>
  <c r="K50" i="64"/>
  <c r="L50" i="64" s="1"/>
  <c r="Q50" i="64"/>
  <c r="R50" i="64"/>
  <c r="F50" i="63"/>
  <c r="G50" i="63" s="1"/>
  <c r="K50" i="63"/>
  <c r="L50" i="63"/>
  <c r="Q50" i="63"/>
  <c r="R50" i="63" s="1"/>
  <c r="F50" i="62"/>
  <c r="G50" i="62"/>
  <c r="I50" i="62" s="1"/>
  <c r="K50" i="62"/>
  <c r="L50" i="62" s="1"/>
  <c r="Q50" i="62"/>
  <c r="R50" i="62" s="1"/>
  <c r="F50" i="61"/>
  <c r="G50" i="61" s="1"/>
  <c r="K50" i="61"/>
  <c r="L50" i="61" s="1"/>
  <c r="Q50" i="61"/>
  <c r="R50" i="61" s="1"/>
  <c r="F50" i="60"/>
  <c r="G50" i="60" s="1"/>
  <c r="K50" i="60"/>
  <c r="L50" i="60" s="1"/>
  <c r="Q50" i="60"/>
  <c r="R50" i="60" s="1"/>
  <c r="F50" i="59"/>
  <c r="G50" i="59" s="1"/>
  <c r="K50" i="59"/>
  <c r="L50" i="59" s="1"/>
  <c r="Q50" i="59"/>
  <c r="R50" i="59" s="1"/>
  <c r="F50" i="58"/>
  <c r="G50" i="58" s="1"/>
  <c r="K50" i="58"/>
  <c r="L50" i="58" s="1"/>
  <c r="Q50" i="58"/>
  <c r="R50" i="58" s="1"/>
  <c r="F50" i="57"/>
  <c r="G50" i="57" s="1"/>
  <c r="I50" i="57" s="1"/>
  <c r="F50" i="56"/>
  <c r="G50" i="56" s="1"/>
  <c r="K50" i="56"/>
  <c r="L50" i="56" s="1"/>
  <c r="Q50" i="56"/>
  <c r="R50" i="56" s="1"/>
  <c r="F50" i="55"/>
  <c r="G50" i="55" s="1"/>
  <c r="K50" i="55"/>
  <c r="L50" i="55" s="1"/>
  <c r="Q50" i="55"/>
  <c r="R50" i="55"/>
  <c r="F50" i="54"/>
  <c r="G50" i="54"/>
  <c r="K50" i="54"/>
  <c r="L50" i="54" s="1"/>
  <c r="Q50" i="54"/>
  <c r="R50" i="54"/>
  <c r="F50" i="53"/>
  <c r="G50" i="53"/>
  <c r="K50" i="53"/>
  <c r="L50" i="53" s="1"/>
  <c r="Q50" i="53"/>
  <c r="R50" i="53"/>
  <c r="F50" i="52"/>
  <c r="G50" i="52"/>
  <c r="K50" i="52"/>
  <c r="L50" i="52" s="1"/>
  <c r="Q50" i="52"/>
  <c r="R50" i="52" s="1"/>
  <c r="F50" i="51"/>
  <c r="G50" i="51" s="1"/>
  <c r="K50" i="51"/>
  <c r="L50" i="51" s="1"/>
  <c r="Q50" i="51"/>
  <c r="R50" i="51" s="1"/>
  <c r="F73" i="48"/>
  <c r="G73" i="48" s="1"/>
  <c r="K73" i="48"/>
  <c r="L73" i="48" s="1"/>
  <c r="Q73" i="48"/>
  <c r="R73" i="48" s="1"/>
  <c r="K73" i="44"/>
  <c r="L73" i="44" s="1"/>
  <c r="F73" i="44"/>
  <c r="G73" i="44" s="1"/>
  <c r="Q73" i="44"/>
  <c r="R73" i="44" s="1"/>
  <c r="F73" i="45"/>
  <c r="G73" i="45"/>
  <c r="K73" i="45"/>
  <c r="L73" i="45" s="1"/>
  <c r="Q73" i="45"/>
  <c r="R73" i="45"/>
  <c r="F78" i="46"/>
  <c r="G78" i="46" s="1"/>
  <c r="K78" i="46"/>
  <c r="L78" i="46" s="1"/>
  <c r="Q78" i="46"/>
  <c r="R78" i="46" s="1"/>
  <c r="Q69" i="49"/>
  <c r="R69" i="49"/>
  <c r="K69" i="49"/>
  <c r="L69" i="49" s="1"/>
  <c r="F69" i="49"/>
  <c r="G69" i="49"/>
  <c r="L49" i="65" l="1"/>
  <c r="G49" i="58"/>
  <c r="F49" i="65"/>
  <c r="G49" i="65"/>
  <c r="K49" i="65"/>
  <c r="Q49" i="65"/>
  <c r="F49" i="64"/>
  <c r="G49" i="64" s="1"/>
  <c r="I49" i="64" s="1"/>
  <c r="K49" i="64"/>
  <c r="L49" i="64" s="1"/>
  <c r="Q49" i="64"/>
  <c r="R49" i="64"/>
  <c r="F49" i="63"/>
  <c r="G49" i="63" s="1"/>
  <c r="K49" i="63"/>
  <c r="L49" i="63"/>
  <c r="Q49" i="63"/>
  <c r="R49" i="63" s="1"/>
  <c r="F49" i="62"/>
  <c r="G49" i="62"/>
  <c r="I49" i="62" s="1"/>
  <c r="K49" i="62"/>
  <c r="L49" i="62" s="1"/>
  <c r="Q49" i="62"/>
  <c r="R49" i="62"/>
  <c r="F49" i="61"/>
  <c r="G49" i="61"/>
  <c r="K49" i="61"/>
  <c r="L49" i="61" s="1"/>
  <c r="Q49" i="61"/>
  <c r="R49" i="61"/>
  <c r="F49" i="60"/>
  <c r="G49" i="60" s="1"/>
  <c r="K49" i="60"/>
  <c r="L49" i="60" s="1"/>
  <c r="Q49" i="60"/>
  <c r="R49" i="60" s="1"/>
  <c r="F49" i="59"/>
  <c r="G49" i="59"/>
  <c r="K49" i="59"/>
  <c r="L49" i="59"/>
  <c r="Q49" i="59"/>
  <c r="R49" i="59" s="1"/>
  <c r="F49" i="58"/>
  <c r="K49" i="58"/>
  <c r="L49" i="58"/>
  <c r="Q49" i="58"/>
  <c r="R49" i="58" s="1"/>
  <c r="F49" i="57"/>
  <c r="G49" i="57" s="1"/>
  <c r="I49" i="57" s="1"/>
  <c r="F49" i="56"/>
  <c r="G49" i="56" s="1"/>
  <c r="K49" i="56"/>
  <c r="L49" i="56"/>
  <c r="Q49" i="56"/>
  <c r="R49" i="56" s="1"/>
  <c r="F49" i="55"/>
  <c r="G49" i="55"/>
  <c r="K49" i="55"/>
  <c r="L49" i="55" s="1"/>
  <c r="Q49" i="55"/>
  <c r="R49" i="55" s="1"/>
  <c r="F49" i="54"/>
  <c r="G49" i="54"/>
  <c r="K49" i="54"/>
  <c r="L49" i="54" s="1"/>
  <c r="Q49" i="54"/>
  <c r="R49" i="54" s="1"/>
  <c r="F49" i="53"/>
  <c r="G49" i="53" s="1"/>
  <c r="K49" i="53"/>
  <c r="L49" i="53"/>
  <c r="Q49" i="53"/>
  <c r="R49" i="53" s="1"/>
  <c r="F49" i="52"/>
  <c r="G49" i="52" s="1"/>
  <c r="K49" i="52"/>
  <c r="L49" i="52" s="1"/>
  <c r="Q49" i="52"/>
  <c r="R49" i="52"/>
  <c r="F49" i="51"/>
  <c r="G49" i="51" s="1"/>
  <c r="K49" i="51"/>
  <c r="L49" i="51" s="1"/>
  <c r="Q49" i="51"/>
  <c r="R49" i="51" s="1"/>
  <c r="F68" i="49"/>
  <c r="G68" i="49" s="1"/>
  <c r="K68" i="49"/>
  <c r="L68" i="49"/>
  <c r="Q68" i="49"/>
  <c r="R68" i="49" s="1"/>
  <c r="F72" i="48"/>
  <c r="G72" i="48" s="1"/>
  <c r="K72" i="48"/>
  <c r="L72" i="48" s="1"/>
  <c r="Q72" i="48"/>
  <c r="R72" i="48"/>
  <c r="F72" i="44"/>
  <c r="G72" i="44" s="1"/>
  <c r="K72" i="44"/>
  <c r="L72" i="44"/>
  <c r="Q72" i="44"/>
  <c r="R72" i="44" s="1"/>
  <c r="F72" i="45"/>
  <c r="G72" i="45"/>
  <c r="K72" i="45"/>
  <c r="L72" i="45" s="1"/>
  <c r="Q72" i="45"/>
  <c r="F77" i="46"/>
  <c r="G77" i="46" s="1"/>
  <c r="K77" i="46"/>
  <c r="L77" i="46" s="1"/>
  <c r="Q77" i="46"/>
  <c r="Q45" i="63"/>
  <c r="Q46" i="63"/>
  <c r="Q47" i="63"/>
  <c r="Q48" i="63"/>
  <c r="Q41" i="63"/>
  <c r="Q42" i="63"/>
  <c r="Q44" i="63"/>
  <c r="Q40" i="63"/>
  <c r="R49" i="65" l="1"/>
  <c r="R72" i="45"/>
  <c r="R77" i="46"/>
  <c r="P67" i="48"/>
  <c r="J44" i="65"/>
  <c r="P44" i="65"/>
  <c r="J44" i="58"/>
  <c r="K45" i="58" s="1"/>
  <c r="L45" i="58" s="1"/>
  <c r="P44" i="58"/>
  <c r="Q45" i="58" s="1"/>
  <c r="R45" i="58" s="1"/>
  <c r="F41" i="51"/>
  <c r="G41" i="51" s="1"/>
  <c r="K41" i="51"/>
  <c r="L41" i="51" s="1"/>
  <c r="Q41" i="51"/>
  <c r="R41" i="51" s="1"/>
  <c r="F42" i="51"/>
  <c r="G42" i="51" s="1"/>
  <c r="K42" i="51"/>
  <c r="L42" i="51" s="1"/>
  <c r="Q42" i="51"/>
  <c r="R42" i="51" s="1"/>
  <c r="F44" i="51"/>
  <c r="G44" i="51" s="1"/>
  <c r="K44" i="51"/>
  <c r="L44" i="51" s="1"/>
  <c r="Q44" i="51"/>
  <c r="R44" i="51" s="1"/>
  <c r="F45" i="51"/>
  <c r="G45" i="51" s="1"/>
  <c r="K45" i="51"/>
  <c r="L45" i="51" s="1"/>
  <c r="Q45" i="51"/>
  <c r="R45" i="51" s="1"/>
  <c r="F46" i="51"/>
  <c r="G46" i="51" s="1"/>
  <c r="K46" i="51"/>
  <c r="L46" i="51" s="1"/>
  <c r="Q46" i="51"/>
  <c r="R46" i="51" s="1"/>
  <c r="F47" i="51"/>
  <c r="G47" i="51" s="1"/>
  <c r="K47" i="51"/>
  <c r="L47" i="51" s="1"/>
  <c r="Q47" i="51"/>
  <c r="R47" i="51" s="1"/>
  <c r="F48" i="51"/>
  <c r="G48" i="51" s="1"/>
  <c r="K48" i="51"/>
  <c r="L48" i="51" s="1"/>
  <c r="Q48" i="51"/>
  <c r="R48" i="51" s="1"/>
  <c r="F41" i="52"/>
  <c r="G41" i="52" s="1"/>
  <c r="K41" i="52"/>
  <c r="L41" i="52" s="1"/>
  <c r="Q41" i="52"/>
  <c r="R41" i="52" s="1"/>
  <c r="F42" i="52"/>
  <c r="G42" i="52" s="1"/>
  <c r="K42" i="52"/>
  <c r="L42" i="52" s="1"/>
  <c r="Q42" i="52"/>
  <c r="R42" i="52" s="1"/>
  <c r="F44" i="52"/>
  <c r="G44" i="52" s="1"/>
  <c r="K44" i="52"/>
  <c r="L44" i="52" s="1"/>
  <c r="Q44" i="52"/>
  <c r="R44" i="52" s="1"/>
  <c r="F45" i="52"/>
  <c r="G45" i="52" s="1"/>
  <c r="K45" i="52"/>
  <c r="L45" i="52" s="1"/>
  <c r="Q45" i="52"/>
  <c r="R45" i="52"/>
  <c r="F46" i="52"/>
  <c r="G46" i="52" s="1"/>
  <c r="K46" i="52"/>
  <c r="L46" i="52" s="1"/>
  <c r="Q46" i="52"/>
  <c r="R46" i="52"/>
  <c r="F47" i="52"/>
  <c r="G47" i="52" s="1"/>
  <c r="K47" i="52"/>
  <c r="L47" i="52" s="1"/>
  <c r="Q47" i="52"/>
  <c r="R47" i="52" s="1"/>
  <c r="F48" i="52"/>
  <c r="G48" i="52" s="1"/>
  <c r="K48" i="52"/>
  <c r="L48" i="52" s="1"/>
  <c r="Q48" i="52"/>
  <c r="R48" i="52" s="1"/>
  <c r="F41" i="53"/>
  <c r="G41" i="53" s="1"/>
  <c r="K41" i="53"/>
  <c r="L41" i="53" s="1"/>
  <c r="Q41" i="53"/>
  <c r="R41" i="53" s="1"/>
  <c r="F42" i="53"/>
  <c r="G42" i="53" s="1"/>
  <c r="K42" i="53"/>
  <c r="L42" i="53" s="1"/>
  <c r="Q42" i="53"/>
  <c r="R42" i="53" s="1"/>
  <c r="F44" i="53"/>
  <c r="G44" i="53" s="1"/>
  <c r="K44" i="53"/>
  <c r="L44" i="53" s="1"/>
  <c r="Q44" i="53"/>
  <c r="R44" i="53" s="1"/>
  <c r="F45" i="53"/>
  <c r="G45" i="53" s="1"/>
  <c r="K45" i="53"/>
  <c r="L45" i="53" s="1"/>
  <c r="Q45" i="53"/>
  <c r="R45" i="53" s="1"/>
  <c r="F46" i="53"/>
  <c r="G46" i="53" s="1"/>
  <c r="K46" i="53"/>
  <c r="L46" i="53" s="1"/>
  <c r="Q46" i="53"/>
  <c r="R46" i="53" s="1"/>
  <c r="F47" i="53"/>
  <c r="G47" i="53" s="1"/>
  <c r="K47" i="53"/>
  <c r="L47" i="53" s="1"/>
  <c r="Q47" i="53"/>
  <c r="R47" i="53" s="1"/>
  <c r="F48" i="53"/>
  <c r="G48" i="53" s="1"/>
  <c r="K48" i="53"/>
  <c r="L48" i="53" s="1"/>
  <c r="Q48" i="53"/>
  <c r="R48" i="53" s="1"/>
  <c r="F41" i="54"/>
  <c r="G41" i="54" s="1"/>
  <c r="K41" i="54"/>
  <c r="L41" i="54" s="1"/>
  <c r="Q41" i="54"/>
  <c r="R41" i="54" s="1"/>
  <c r="F42" i="54"/>
  <c r="G42" i="54" s="1"/>
  <c r="K42" i="54"/>
  <c r="L42" i="54" s="1"/>
  <c r="Q42" i="54"/>
  <c r="R42" i="54" s="1"/>
  <c r="F44" i="54"/>
  <c r="G44" i="54" s="1"/>
  <c r="K44" i="54"/>
  <c r="L44" i="54" s="1"/>
  <c r="Q44" i="54"/>
  <c r="R44" i="54" s="1"/>
  <c r="F45" i="54"/>
  <c r="G45" i="54" s="1"/>
  <c r="K45" i="54"/>
  <c r="L45" i="54" s="1"/>
  <c r="Q45" i="54"/>
  <c r="R45" i="54" s="1"/>
  <c r="F46" i="54"/>
  <c r="G46" i="54" s="1"/>
  <c r="K46" i="54"/>
  <c r="L46" i="54" s="1"/>
  <c r="Q46" i="54"/>
  <c r="R46" i="54" s="1"/>
  <c r="F47" i="54"/>
  <c r="G47" i="54" s="1"/>
  <c r="K47" i="54"/>
  <c r="L47" i="54" s="1"/>
  <c r="Q47" i="54"/>
  <c r="R47" i="54" s="1"/>
  <c r="F48" i="54"/>
  <c r="G48" i="54" s="1"/>
  <c r="K48" i="54"/>
  <c r="L48" i="54" s="1"/>
  <c r="Q48" i="54"/>
  <c r="R48" i="54" s="1"/>
  <c r="F41" i="55"/>
  <c r="G41" i="55" s="1"/>
  <c r="K41" i="55"/>
  <c r="L41" i="55" s="1"/>
  <c r="Q41" i="55"/>
  <c r="R41" i="55" s="1"/>
  <c r="F42" i="55"/>
  <c r="G42" i="55" s="1"/>
  <c r="K42" i="55"/>
  <c r="L42" i="55" s="1"/>
  <c r="Q42" i="55"/>
  <c r="R42" i="55" s="1"/>
  <c r="F44" i="55"/>
  <c r="G44" i="55" s="1"/>
  <c r="K44" i="55"/>
  <c r="L44" i="55" s="1"/>
  <c r="Q44" i="55"/>
  <c r="R44" i="55" s="1"/>
  <c r="F45" i="55"/>
  <c r="G45" i="55" s="1"/>
  <c r="K45" i="55"/>
  <c r="L45" i="55" s="1"/>
  <c r="Q45" i="55"/>
  <c r="R45" i="55" s="1"/>
  <c r="F46" i="55"/>
  <c r="G46" i="55" s="1"/>
  <c r="K46" i="55"/>
  <c r="L46" i="55" s="1"/>
  <c r="Q46" i="55"/>
  <c r="R46" i="55" s="1"/>
  <c r="F47" i="55"/>
  <c r="G47" i="55" s="1"/>
  <c r="K47" i="55"/>
  <c r="L47" i="55" s="1"/>
  <c r="Q47" i="55"/>
  <c r="R47" i="55" s="1"/>
  <c r="F48" i="55"/>
  <c r="G48" i="55" s="1"/>
  <c r="K48" i="55"/>
  <c r="L48" i="55" s="1"/>
  <c r="Q48" i="55"/>
  <c r="R48" i="55" s="1"/>
  <c r="F41" i="56"/>
  <c r="G41" i="56" s="1"/>
  <c r="K41" i="56"/>
  <c r="L41" i="56" s="1"/>
  <c r="Q41" i="56"/>
  <c r="R41" i="56" s="1"/>
  <c r="F42" i="56"/>
  <c r="G42" i="56" s="1"/>
  <c r="K42" i="56"/>
  <c r="L42" i="56" s="1"/>
  <c r="Q42" i="56"/>
  <c r="R42" i="56" s="1"/>
  <c r="F44" i="56"/>
  <c r="G44" i="56" s="1"/>
  <c r="K44" i="56"/>
  <c r="L44" i="56" s="1"/>
  <c r="Q44" i="56"/>
  <c r="R44" i="56" s="1"/>
  <c r="F45" i="56"/>
  <c r="G45" i="56" s="1"/>
  <c r="K45" i="56"/>
  <c r="L45" i="56" s="1"/>
  <c r="Q45" i="56"/>
  <c r="R45" i="56" s="1"/>
  <c r="F46" i="56"/>
  <c r="G46" i="56" s="1"/>
  <c r="K46" i="56"/>
  <c r="L46" i="56" s="1"/>
  <c r="Q46" i="56"/>
  <c r="R46" i="56" s="1"/>
  <c r="F47" i="56"/>
  <c r="G47" i="56" s="1"/>
  <c r="K47" i="56"/>
  <c r="L47" i="56" s="1"/>
  <c r="Q47" i="56"/>
  <c r="R47" i="56" s="1"/>
  <c r="F48" i="56"/>
  <c r="G48" i="56" s="1"/>
  <c r="K48" i="56"/>
  <c r="L48" i="56" s="1"/>
  <c r="Q48" i="56"/>
  <c r="R48" i="56" s="1"/>
  <c r="F41" i="57"/>
  <c r="G41" i="57" s="1"/>
  <c r="I41" i="57" s="1"/>
  <c r="F42" i="57"/>
  <c r="G42" i="57" s="1"/>
  <c r="I42" i="57" s="1"/>
  <c r="F44" i="57"/>
  <c r="G44" i="57" s="1"/>
  <c r="I44" i="57" s="1"/>
  <c r="F45" i="57"/>
  <c r="G45" i="57" s="1"/>
  <c r="I45" i="57" s="1"/>
  <c r="F46" i="57"/>
  <c r="G46" i="57" s="1"/>
  <c r="I46" i="57" s="1"/>
  <c r="F47" i="57"/>
  <c r="G47" i="57" s="1"/>
  <c r="I47" i="57" s="1"/>
  <c r="F48" i="57"/>
  <c r="G48" i="57" s="1"/>
  <c r="I48" i="57" s="1"/>
  <c r="F41" i="58"/>
  <c r="G41" i="58" s="1"/>
  <c r="K41" i="58"/>
  <c r="L41" i="58" s="1"/>
  <c r="Q41" i="58"/>
  <c r="R41" i="58" s="1"/>
  <c r="F42" i="58"/>
  <c r="G42" i="58" s="1"/>
  <c r="K42" i="58"/>
  <c r="L42" i="58" s="1"/>
  <c r="Q42" i="58"/>
  <c r="R42" i="58" s="1"/>
  <c r="F44" i="58"/>
  <c r="G44" i="58" s="1"/>
  <c r="K44" i="58"/>
  <c r="L44" i="58" s="1"/>
  <c r="Q44" i="58"/>
  <c r="F45" i="58"/>
  <c r="G45" i="58" s="1"/>
  <c r="F46" i="58"/>
  <c r="G46" i="58" s="1"/>
  <c r="K46" i="58"/>
  <c r="L46" i="58" s="1"/>
  <c r="Q46" i="58"/>
  <c r="R46" i="58" s="1"/>
  <c r="F47" i="58"/>
  <c r="G47" i="58" s="1"/>
  <c r="K47" i="58"/>
  <c r="L47" i="58" s="1"/>
  <c r="Q47" i="58"/>
  <c r="R47" i="58" s="1"/>
  <c r="F48" i="58"/>
  <c r="G48" i="58" s="1"/>
  <c r="K48" i="58"/>
  <c r="L48" i="58" s="1"/>
  <c r="Q48" i="58"/>
  <c r="R48" i="58" s="1"/>
  <c r="F41" i="59"/>
  <c r="G41" i="59" s="1"/>
  <c r="K41" i="59"/>
  <c r="L41" i="59" s="1"/>
  <c r="Q41" i="59"/>
  <c r="R41" i="59" s="1"/>
  <c r="F42" i="59"/>
  <c r="G42" i="59" s="1"/>
  <c r="K42" i="59"/>
  <c r="L42" i="59" s="1"/>
  <c r="Q42" i="59"/>
  <c r="R42" i="59" s="1"/>
  <c r="F44" i="59"/>
  <c r="G44" i="59" s="1"/>
  <c r="K44" i="59"/>
  <c r="L44" i="59" s="1"/>
  <c r="Q44" i="59"/>
  <c r="R44" i="59" s="1"/>
  <c r="F45" i="59"/>
  <c r="G45" i="59" s="1"/>
  <c r="K45" i="59"/>
  <c r="L45" i="59" s="1"/>
  <c r="Q45" i="59"/>
  <c r="R45" i="59" s="1"/>
  <c r="F46" i="59"/>
  <c r="G46" i="59" s="1"/>
  <c r="K46" i="59"/>
  <c r="L46" i="59" s="1"/>
  <c r="Q46" i="59"/>
  <c r="R46" i="59" s="1"/>
  <c r="F47" i="59"/>
  <c r="G47" i="59" s="1"/>
  <c r="K47" i="59"/>
  <c r="L47" i="59" s="1"/>
  <c r="Q47" i="59"/>
  <c r="R47" i="59" s="1"/>
  <c r="F48" i="59"/>
  <c r="G48" i="59" s="1"/>
  <c r="K48" i="59"/>
  <c r="L48" i="59" s="1"/>
  <c r="Q48" i="59"/>
  <c r="R48" i="59" s="1"/>
  <c r="F41" i="60"/>
  <c r="G41" i="60" s="1"/>
  <c r="K41" i="60"/>
  <c r="L41" i="60" s="1"/>
  <c r="Q41" i="60"/>
  <c r="R41" i="60" s="1"/>
  <c r="F42" i="60"/>
  <c r="G42" i="60" s="1"/>
  <c r="K42" i="60"/>
  <c r="L42" i="60" s="1"/>
  <c r="Q42" i="60"/>
  <c r="R42" i="60" s="1"/>
  <c r="F44" i="60"/>
  <c r="G44" i="60" s="1"/>
  <c r="K44" i="60"/>
  <c r="L44" i="60" s="1"/>
  <c r="Q44" i="60"/>
  <c r="R44" i="60" s="1"/>
  <c r="F45" i="60"/>
  <c r="G45" i="60" s="1"/>
  <c r="K45" i="60"/>
  <c r="L45" i="60" s="1"/>
  <c r="Q45" i="60"/>
  <c r="R45" i="60" s="1"/>
  <c r="F46" i="60"/>
  <c r="G46" i="60" s="1"/>
  <c r="K46" i="60"/>
  <c r="L46" i="60" s="1"/>
  <c r="Q46" i="60"/>
  <c r="R46" i="60" s="1"/>
  <c r="F47" i="60"/>
  <c r="G47" i="60" s="1"/>
  <c r="K47" i="60"/>
  <c r="L47" i="60" s="1"/>
  <c r="Q47" i="60"/>
  <c r="R47" i="60" s="1"/>
  <c r="F48" i="60"/>
  <c r="G48" i="60" s="1"/>
  <c r="K48" i="60"/>
  <c r="L48" i="60" s="1"/>
  <c r="Q48" i="60"/>
  <c r="R48" i="60" s="1"/>
  <c r="F41" i="61"/>
  <c r="G41" i="61" s="1"/>
  <c r="K41" i="61"/>
  <c r="L41" i="61" s="1"/>
  <c r="Q41" i="61"/>
  <c r="R41" i="61" s="1"/>
  <c r="F42" i="61"/>
  <c r="G42" i="61" s="1"/>
  <c r="K42" i="61"/>
  <c r="L42" i="61" s="1"/>
  <c r="Q42" i="61"/>
  <c r="R42" i="61" s="1"/>
  <c r="F44" i="61"/>
  <c r="G44" i="61" s="1"/>
  <c r="K44" i="61"/>
  <c r="L44" i="61" s="1"/>
  <c r="Q44" i="61"/>
  <c r="R44" i="61" s="1"/>
  <c r="F45" i="61"/>
  <c r="G45" i="61" s="1"/>
  <c r="K45" i="61"/>
  <c r="L45" i="61" s="1"/>
  <c r="Q45" i="61"/>
  <c r="R45" i="61" s="1"/>
  <c r="F46" i="61"/>
  <c r="G46" i="61" s="1"/>
  <c r="K46" i="61"/>
  <c r="L46" i="61" s="1"/>
  <c r="Q46" i="61"/>
  <c r="R46" i="61" s="1"/>
  <c r="F47" i="61"/>
  <c r="G47" i="61" s="1"/>
  <c r="K47" i="61"/>
  <c r="L47" i="61" s="1"/>
  <c r="Q47" i="61"/>
  <c r="R47" i="61" s="1"/>
  <c r="F48" i="61"/>
  <c r="G48" i="61" s="1"/>
  <c r="K48" i="61"/>
  <c r="L48" i="61" s="1"/>
  <c r="Q48" i="61"/>
  <c r="R48" i="61" s="1"/>
  <c r="F41" i="62"/>
  <c r="G41" i="62" s="1"/>
  <c r="I41" i="62" s="1"/>
  <c r="K41" i="62"/>
  <c r="L41" i="62" s="1"/>
  <c r="Q41" i="62"/>
  <c r="R41" i="62" s="1"/>
  <c r="F42" i="62"/>
  <c r="G42" i="62" s="1"/>
  <c r="I42" i="62" s="1"/>
  <c r="K42" i="62"/>
  <c r="L42" i="62" s="1"/>
  <c r="Q42" i="62"/>
  <c r="R42" i="62" s="1"/>
  <c r="F44" i="62"/>
  <c r="G44" i="62"/>
  <c r="I44" i="62" s="1"/>
  <c r="K44" i="62"/>
  <c r="L44" i="62" s="1"/>
  <c r="Q44" i="62"/>
  <c r="R44" i="62" s="1"/>
  <c r="F45" i="62"/>
  <c r="G45" i="62" s="1"/>
  <c r="I45" i="62" s="1"/>
  <c r="K45" i="62"/>
  <c r="L45" i="62" s="1"/>
  <c r="Q45" i="62"/>
  <c r="R45" i="62" s="1"/>
  <c r="F46" i="62"/>
  <c r="G46" i="62" s="1"/>
  <c r="I46" i="62" s="1"/>
  <c r="K46" i="62"/>
  <c r="L46" i="62" s="1"/>
  <c r="Q46" i="62"/>
  <c r="R46" i="62" s="1"/>
  <c r="F47" i="62"/>
  <c r="G47" i="62" s="1"/>
  <c r="I47" i="62" s="1"/>
  <c r="K47" i="62"/>
  <c r="L47" i="62" s="1"/>
  <c r="Q47" i="62"/>
  <c r="R47" i="62" s="1"/>
  <c r="F48" i="62"/>
  <c r="G48" i="62" s="1"/>
  <c r="I48" i="62" s="1"/>
  <c r="K48" i="62"/>
  <c r="L48" i="62" s="1"/>
  <c r="Q48" i="62"/>
  <c r="R48" i="62" s="1"/>
  <c r="F41" i="63"/>
  <c r="G41" i="63" s="1"/>
  <c r="K41" i="63"/>
  <c r="L41" i="63" s="1"/>
  <c r="R41" i="63"/>
  <c r="F42" i="63"/>
  <c r="G42" i="63" s="1"/>
  <c r="K42" i="63"/>
  <c r="L42" i="63" s="1"/>
  <c r="R42" i="63"/>
  <c r="F44" i="63"/>
  <c r="G44" i="63" s="1"/>
  <c r="K44" i="63"/>
  <c r="L44" i="63" s="1"/>
  <c r="R44" i="63"/>
  <c r="F45" i="63"/>
  <c r="G45" i="63" s="1"/>
  <c r="K45" i="63"/>
  <c r="L45" i="63" s="1"/>
  <c r="R45" i="63"/>
  <c r="F46" i="63"/>
  <c r="G46" i="63" s="1"/>
  <c r="K46" i="63"/>
  <c r="L46" i="63" s="1"/>
  <c r="R46" i="63"/>
  <c r="F47" i="63"/>
  <c r="G47" i="63" s="1"/>
  <c r="K47" i="63"/>
  <c r="L47" i="63" s="1"/>
  <c r="R47" i="63"/>
  <c r="F48" i="63"/>
  <c r="G48" i="63" s="1"/>
  <c r="K48" i="63"/>
  <c r="L48" i="63" s="1"/>
  <c r="R48" i="63"/>
  <c r="F41" i="64"/>
  <c r="G41" i="64" s="1"/>
  <c r="I41" i="64" s="1"/>
  <c r="K41" i="64"/>
  <c r="L41" i="64" s="1"/>
  <c r="Q41" i="64"/>
  <c r="R41" i="64" s="1"/>
  <c r="F42" i="64"/>
  <c r="G42" i="64" s="1"/>
  <c r="I42" i="64" s="1"/>
  <c r="K42" i="64"/>
  <c r="L42" i="64" s="1"/>
  <c r="Q42" i="64"/>
  <c r="R42" i="64" s="1"/>
  <c r="F44" i="64"/>
  <c r="G44" i="64" s="1"/>
  <c r="I44" i="64" s="1"/>
  <c r="K44" i="64"/>
  <c r="L44" i="64" s="1"/>
  <c r="Q44" i="64"/>
  <c r="R44" i="64" s="1"/>
  <c r="F45" i="64"/>
  <c r="G45" i="64" s="1"/>
  <c r="I45" i="64" s="1"/>
  <c r="K45" i="64"/>
  <c r="L45" i="64" s="1"/>
  <c r="Q45" i="64"/>
  <c r="R45" i="64" s="1"/>
  <c r="F46" i="64"/>
  <c r="G46" i="64" s="1"/>
  <c r="I46" i="64" s="1"/>
  <c r="K46" i="64"/>
  <c r="L46" i="64" s="1"/>
  <c r="Q46" i="64"/>
  <c r="R46" i="64" s="1"/>
  <c r="F47" i="64"/>
  <c r="G47" i="64" s="1"/>
  <c r="I47" i="64" s="1"/>
  <c r="K47" i="64"/>
  <c r="L47" i="64" s="1"/>
  <c r="Q47" i="64"/>
  <c r="R47" i="64" s="1"/>
  <c r="F48" i="64"/>
  <c r="G48" i="64" s="1"/>
  <c r="I48" i="64" s="1"/>
  <c r="K48" i="64"/>
  <c r="L48" i="64" s="1"/>
  <c r="Q48" i="64"/>
  <c r="R48" i="64" s="1"/>
  <c r="F41" i="65"/>
  <c r="G41" i="65" s="1"/>
  <c r="K41" i="65"/>
  <c r="L41" i="65" s="1"/>
  <c r="Q41" i="65"/>
  <c r="R41" i="65" s="1"/>
  <c r="F42" i="65"/>
  <c r="G42" i="65" s="1"/>
  <c r="K42" i="65"/>
  <c r="L42" i="65" s="1"/>
  <c r="Q42" i="65"/>
  <c r="R42" i="65" s="1"/>
  <c r="F44" i="65"/>
  <c r="G44" i="65" s="1"/>
  <c r="K44" i="65"/>
  <c r="Q44" i="65"/>
  <c r="R44" i="65" s="1"/>
  <c r="F45" i="65"/>
  <c r="G45" i="65" s="1"/>
  <c r="Q45" i="65"/>
  <c r="R45" i="65" s="1"/>
  <c r="F46" i="65"/>
  <c r="G46" i="65" s="1"/>
  <c r="K46" i="65"/>
  <c r="L46" i="65" s="1"/>
  <c r="Q46" i="65"/>
  <c r="R46" i="65" s="1"/>
  <c r="F47" i="65"/>
  <c r="G47" i="65" s="1"/>
  <c r="K47" i="65"/>
  <c r="L47" i="65" s="1"/>
  <c r="Q47" i="65"/>
  <c r="R47" i="65" s="1"/>
  <c r="F48" i="65"/>
  <c r="G48" i="65" s="1"/>
  <c r="K48" i="65"/>
  <c r="L48" i="65" s="1"/>
  <c r="Q48" i="65"/>
  <c r="R48" i="65" s="1"/>
  <c r="F60" i="49"/>
  <c r="G60" i="49" s="1"/>
  <c r="K60" i="49"/>
  <c r="L60" i="49" s="1"/>
  <c r="Q60" i="49"/>
  <c r="R60" i="49" s="1"/>
  <c r="F61" i="49"/>
  <c r="G61" i="49" s="1"/>
  <c r="K61" i="49"/>
  <c r="L61" i="49" s="1"/>
  <c r="Q61" i="49"/>
  <c r="R61" i="49" s="1"/>
  <c r="F63" i="49"/>
  <c r="G63" i="49" s="1"/>
  <c r="K63" i="49"/>
  <c r="L63" i="49" s="1"/>
  <c r="Q63" i="49"/>
  <c r="R63" i="49" s="1"/>
  <c r="F64" i="49"/>
  <c r="G64" i="49" s="1"/>
  <c r="K64" i="49"/>
  <c r="L64" i="49" s="1"/>
  <c r="Q64" i="49"/>
  <c r="R64" i="49" s="1"/>
  <c r="F65" i="49"/>
  <c r="G65" i="49" s="1"/>
  <c r="K65" i="49"/>
  <c r="L65" i="49" s="1"/>
  <c r="Q65" i="49"/>
  <c r="R65" i="49" s="1"/>
  <c r="F66" i="49"/>
  <c r="G66" i="49" s="1"/>
  <c r="K66" i="49"/>
  <c r="L66" i="49" s="1"/>
  <c r="Q66" i="49"/>
  <c r="R66" i="49" s="1"/>
  <c r="F67" i="49"/>
  <c r="G67" i="49" s="1"/>
  <c r="K67" i="49"/>
  <c r="L67" i="49" s="1"/>
  <c r="Q67" i="49"/>
  <c r="R67" i="49" s="1"/>
  <c r="F64" i="48"/>
  <c r="G64" i="48" s="1"/>
  <c r="K64" i="48"/>
  <c r="L64" i="48" s="1"/>
  <c r="Q64" i="48"/>
  <c r="R64" i="48" s="1"/>
  <c r="F65" i="48"/>
  <c r="G65" i="48" s="1"/>
  <c r="K65" i="48"/>
  <c r="L65" i="48" s="1"/>
  <c r="Q65" i="48"/>
  <c r="R65" i="48" s="1"/>
  <c r="F67" i="48"/>
  <c r="G67" i="48" s="1"/>
  <c r="K67" i="48"/>
  <c r="L67" i="48" s="1"/>
  <c r="Q67" i="48"/>
  <c r="R67" i="48" s="1"/>
  <c r="F68" i="48"/>
  <c r="G68" i="48" s="1"/>
  <c r="K68" i="48"/>
  <c r="L68" i="48" s="1"/>
  <c r="Q68" i="48"/>
  <c r="R68" i="48" s="1"/>
  <c r="F69" i="48"/>
  <c r="G69" i="48" s="1"/>
  <c r="K69" i="48"/>
  <c r="L69" i="48" s="1"/>
  <c r="Q69" i="48"/>
  <c r="R69" i="48" s="1"/>
  <c r="F70" i="48"/>
  <c r="G70" i="48" s="1"/>
  <c r="K70" i="48"/>
  <c r="L70" i="48" s="1"/>
  <c r="Q70" i="48"/>
  <c r="R70" i="48" s="1"/>
  <c r="F71" i="48"/>
  <c r="G71" i="48" s="1"/>
  <c r="K71" i="48"/>
  <c r="L71" i="48" s="1"/>
  <c r="Q71" i="48"/>
  <c r="R71" i="48" s="1"/>
  <c r="F64" i="44"/>
  <c r="G64" i="44" s="1"/>
  <c r="K64" i="44"/>
  <c r="L64" i="44" s="1"/>
  <c r="Q64" i="44"/>
  <c r="R64" i="44" s="1"/>
  <c r="F65" i="44"/>
  <c r="G65" i="44" s="1"/>
  <c r="K65" i="44"/>
  <c r="L65" i="44" s="1"/>
  <c r="Q65" i="44"/>
  <c r="R65" i="44" s="1"/>
  <c r="F67" i="44"/>
  <c r="G67" i="44" s="1"/>
  <c r="K67" i="44"/>
  <c r="L67" i="44" s="1"/>
  <c r="Q67" i="44"/>
  <c r="R67" i="44" s="1"/>
  <c r="F68" i="44"/>
  <c r="G68" i="44" s="1"/>
  <c r="K68" i="44"/>
  <c r="L68" i="44" s="1"/>
  <c r="Q68" i="44"/>
  <c r="R68" i="44" s="1"/>
  <c r="F69" i="44"/>
  <c r="G69" i="44" s="1"/>
  <c r="K69" i="44"/>
  <c r="L69" i="44" s="1"/>
  <c r="Q69" i="44"/>
  <c r="R69" i="44" s="1"/>
  <c r="F70" i="44"/>
  <c r="G70" i="44" s="1"/>
  <c r="K70" i="44"/>
  <c r="L70" i="44" s="1"/>
  <c r="Q70" i="44"/>
  <c r="R70" i="44" s="1"/>
  <c r="F71" i="44"/>
  <c r="G71" i="44" s="1"/>
  <c r="K71" i="44"/>
  <c r="L71" i="44" s="1"/>
  <c r="Q71" i="44"/>
  <c r="R71" i="44" s="1"/>
  <c r="F64" i="45"/>
  <c r="G64" i="45" s="1"/>
  <c r="K64" i="45"/>
  <c r="L64" i="45" s="1"/>
  <c r="Q64" i="45"/>
  <c r="R64" i="45" s="1"/>
  <c r="F65" i="45"/>
  <c r="G65" i="45" s="1"/>
  <c r="K65" i="45"/>
  <c r="L65" i="45" s="1"/>
  <c r="Q65" i="45"/>
  <c r="R65" i="45" s="1"/>
  <c r="F67" i="45"/>
  <c r="G67" i="45" s="1"/>
  <c r="K67" i="45"/>
  <c r="L67" i="45" s="1"/>
  <c r="Q67" i="45"/>
  <c r="R67" i="45" s="1"/>
  <c r="F68" i="45"/>
  <c r="G68" i="45" s="1"/>
  <c r="K68" i="45"/>
  <c r="L68" i="45" s="1"/>
  <c r="Q68" i="45"/>
  <c r="R68" i="45" s="1"/>
  <c r="F69" i="45"/>
  <c r="G69" i="45" s="1"/>
  <c r="K69" i="45"/>
  <c r="L69" i="45" s="1"/>
  <c r="Q69" i="45"/>
  <c r="R69" i="45" s="1"/>
  <c r="F70" i="45"/>
  <c r="G70" i="45" s="1"/>
  <c r="K70" i="45"/>
  <c r="L70" i="45" s="1"/>
  <c r="Q70" i="45"/>
  <c r="R70" i="45" s="1"/>
  <c r="F71" i="45"/>
  <c r="G71" i="45" s="1"/>
  <c r="K71" i="45"/>
  <c r="L71" i="45" s="1"/>
  <c r="Q71" i="45"/>
  <c r="R71" i="45" s="1"/>
  <c r="K69" i="46"/>
  <c r="L69" i="46" s="1"/>
  <c r="Q69" i="46"/>
  <c r="R69" i="46" s="1"/>
  <c r="F70" i="46"/>
  <c r="G70" i="46" s="1"/>
  <c r="K70" i="46"/>
  <c r="L70" i="46" s="1"/>
  <c r="Q70" i="46"/>
  <c r="R70" i="46" s="1"/>
  <c r="F73" i="46"/>
  <c r="G73" i="46" s="1"/>
  <c r="F72" i="46"/>
  <c r="G72" i="46" s="1"/>
  <c r="K72" i="46"/>
  <c r="L72" i="46" s="1"/>
  <c r="Q72" i="46"/>
  <c r="R72" i="46" s="1"/>
  <c r="K73" i="46"/>
  <c r="L73" i="46" s="1"/>
  <c r="Q73" i="46"/>
  <c r="R73" i="46" s="1"/>
  <c r="K74" i="46"/>
  <c r="L74" i="46" s="1"/>
  <c r="Q74" i="46"/>
  <c r="R74" i="46" s="1"/>
  <c r="K75" i="46"/>
  <c r="L75" i="46" s="1"/>
  <c r="Q75" i="46"/>
  <c r="R75" i="46" s="1"/>
  <c r="K76" i="46"/>
  <c r="L76" i="46" s="1"/>
  <c r="Q76" i="46"/>
  <c r="R76" i="46" s="1"/>
  <c r="R44" i="58" l="1"/>
  <c r="K45" i="65"/>
  <c r="L45" i="65" s="1"/>
  <c r="L44" i="65"/>
  <c r="F75" i="46"/>
  <c r="G75" i="46" s="1"/>
  <c r="F74" i="46"/>
  <c r="G74" i="46" s="1"/>
  <c r="F59" i="49"/>
  <c r="E68" i="46"/>
  <c r="F40" i="57"/>
  <c r="G40" i="57" s="1"/>
  <c r="I40" i="57" s="1"/>
  <c r="F40" i="58"/>
  <c r="G40" i="58" s="1"/>
  <c r="K40" i="58"/>
  <c r="L40" i="58" s="1"/>
  <c r="Q40" i="58"/>
  <c r="R40" i="58"/>
  <c r="F40" i="59"/>
  <c r="G40" i="59" s="1"/>
  <c r="K40" i="59"/>
  <c r="L40" i="59" s="1"/>
  <c r="Q40" i="59"/>
  <c r="R40" i="59" s="1"/>
  <c r="F40" i="60"/>
  <c r="G40" i="60" s="1"/>
  <c r="K40" i="60"/>
  <c r="L40" i="60" s="1"/>
  <c r="Q40" i="60"/>
  <c r="R40" i="60" s="1"/>
  <c r="F40" i="61"/>
  <c r="G40" i="61" s="1"/>
  <c r="K40" i="61"/>
  <c r="L40" i="61"/>
  <c r="Q40" i="61"/>
  <c r="R40" i="61" s="1"/>
  <c r="F40" i="62"/>
  <c r="G40" i="62"/>
  <c r="I40" i="62" s="1"/>
  <c r="K40" i="62"/>
  <c r="L40" i="62" s="1"/>
  <c r="Q40" i="62"/>
  <c r="R40" i="62" s="1"/>
  <c r="F40" i="63"/>
  <c r="G40" i="63" s="1"/>
  <c r="K40" i="63"/>
  <c r="L40" i="63" s="1"/>
  <c r="R40" i="63"/>
  <c r="F40" i="64"/>
  <c r="G40" i="64" s="1"/>
  <c r="I40" i="64" s="1"/>
  <c r="K40" i="64"/>
  <c r="L40" i="64" s="1"/>
  <c r="Q40" i="64"/>
  <c r="R40" i="64" s="1"/>
  <c r="F40" i="65"/>
  <c r="G40" i="65" s="1"/>
  <c r="K40" i="65"/>
  <c r="L40" i="65" s="1"/>
  <c r="Q40" i="65"/>
  <c r="R40" i="65" s="1"/>
  <c r="F40" i="56"/>
  <c r="G40" i="56" s="1"/>
  <c r="K40" i="56"/>
  <c r="L40" i="56"/>
  <c r="Q40" i="56"/>
  <c r="R40" i="56" s="1"/>
  <c r="F40" i="55"/>
  <c r="G40" i="55"/>
  <c r="K40" i="55"/>
  <c r="L40" i="55" s="1"/>
  <c r="Q40" i="55"/>
  <c r="R40" i="55" s="1"/>
  <c r="F40" i="54"/>
  <c r="G40" i="54" s="1"/>
  <c r="K40" i="54"/>
  <c r="L40" i="54" s="1"/>
  <c r="Q40" i="54"/>
  <c r="R40" i="54" s="1"/>
  <c r="F40" i="53"/>
  <c r="G40" i="53" s="1"/>
  <c r="K40" i="53"/>
  <c r="L40" i="53" s="1"/>
  <c r="Q40" i="53"/>
  <c r="R40" i="53" s="1"/>
  <c r="F40" i="52"/>
  <c r="G40" i="52" s="1"/>
  <c r="K40" i="52"/>
  <c r="L40" i="52" s="1"/>
  <c r="Q40" i="52"/>
  <c r="R40" i="52" s="1"/>
  <c r="F40" i="51"/>
  <c r="G40" i="51" s="1"/>
  <c r="K40" i="51"/>
  <c r="L40" i="51" s="1"/>
  <c r="Q40" i="51"/>
  <c r="R40" i="51" s="1"/>
  <c r="F69" i="46" l="1"/>
  <c r="G69" i="46" s="1"/>
  <c r="F76" i="46"/>
  <c r="G76" i="46" s="1"/>
  <c r="G59" i="49"/>
  <c r="K59" i="49"/>
  <c r="L59" i="49" s="1"/>
  <c r="Q59" i="49"/>
  <c r="R59" i="49" s="1"/>
  <c r="F63" i="48"/>
  <c r="G63" i="48" s="1"/>
  <c r="K63" i="48"/>
  <c r="L63" i="48" s="1"/>
  <c r="Q63" i="48"/>
  <c r="R63" i="48" s="1"/>
  <c r="F63" i="44"/>
  <c r="G63" i="44"/>
  <c r="K63" i="44"/>
  <c r="L63" i="44" s="1"/>
  <c r="Q63" i="44"/>
  <c r="R63" i="44" s="1"/>
  <c r="F63" i="45"/>
  <c r="G63" i="45" s="1"/>
  <c r="K63" i="45"/>
  <c r="L63" i="45" s="1"/>
  <c r="Q63" i="45"/>
  <c r="R63" i="45" s="1"/>
  <c r="F68" i="46"/>
  <c r="G68" i="46" s="1"/>
  <c r="K68" i="46"/>
  <c r="L68" i="46" s="1"/>
  <c r="Q68" i="46"/>
  <c r="R68" i="46" s="1"/>
  <c r="Q62" i="48"/>
  <c r="F39" i="57"/>
  <c r="G39" i="57" s="1"/>
  <c r="I39" i="57" s="1"/>
  <c r="F67" i="46"/>
  <c r="G67" i="46" s="1"/>
  <c r="K67" i="46"/>
  <c r="L67" i="46" s="1"/>
  <c r="Q67" i="46"/>
  <c r="R67" i="46" s="1"/>
  <c r="F39" i="65" l="1"/>
  <c r="G39" i="65" s="1"/>
  <c r="K39" i="65"/>
  <c r="L39" i="65" s="1"/>
  <c r="Q39" i="65"/>
  <c r="R39" i="65" s="1"/>
  <c r="F39" i="64"/>
  <c r="G39" i="64" s="1"/>
  <c r="I39" i="64" s="1"/>
  <c r="K39" i="64"/>
  <c r="L39" i="64" s="1"/>
  <c r="Q39" i="64"/>
  <c r="R39" i="64" s="1"/>
  <c r="F39" i="63"/>
  <c r="G39" i="63" s="1"/>
  <c r="K39" i="63"/>
  <c r="L39" i="63" s="1"/>
  <c r="Q39" i="63"/>
  <c r="R39" i="63" s="1"/>
  <c r="F39" i="62"/>
  <c r="G39" i="62" s="1"/>
  <c r="I39" i="62" s="1"/>
  <c r="K39" i="62"/>
  <c r="L39" i="62" s="1"/>
  <c r="Q39" i="62"/>
  <c r="R39" i="62" s="1"/>
  <c r="F39" i="61"/>
  <c r="G39" i="61" s="1"/>
  <c r="K39" i="61"/>
  <c r="L39" i="61" s="1"/>
  <c r="Q39" i="61"/>
  <c r="R39" i="61" s="1"/>
  <c r="F39" i="60"/>
  <c r="G39" i="60" s="1"/>
  <c r="K39" i="60"/>
  <c r="S333" i="66" s="1"/>
  <c r="Q39" i="60"/>
  <c r="R39" i="60" s="1"/>
  <c r="F39" i="59"/>
  <c r="G39" i="59" s="1"/>
  <c r="K39" i="59"/>
  <c r="L39" i="59" s="1"/>
  <c r="Q39" i="59"/>
  <c r="R39" i="59" s="1"/>
  <c r="F39" i="58"/>
  <c r="G39" i="58" s="1"/>
  <c r="K39" i="58"/>
  <c r="L39" i="58" s="1"/>
  <c r="Q39" i="58"/>
  <c r="R39" i="58" s="1"/>
  <c r="F39" i="56"/>
  <c r="G39" i="56" s="1"/>
  <c r="K39" i="56"/>
  <c r="S199" i="66" s="1"/>
  <c r="L39" i="56"/>
  <c r="Q39" i="56"/>
  <c r="R39" i="56" s="1"/>
  <c r="F39" i="55"/>
  <c r="G39" i="55" s="1"/>
  <c r="K39" i="55"/>
  <c r="L39" i="55" s="1"/>
  <c r="Q39" i="55"/>
  <c r="R39" i="55" s="1"/>
  <c r="F39" i="54"/>
  <c r="G39" i="54" s="1"/>
  <c r="K39" i="54"/>
  <c r="L39" i="54" s="1"/>
  <c r="Q39" i="54"/>
  <c r="R39" i="54" s="1"/>
  <c r="F39" i="53"/>
  <c r="G39" i="53" s="1"/>
  <c r="K39" i="53"/>
  <c r="L39" i="53" s="1"/>
  <c r="Q39" i="53"/>
  <c r="R39" i="53" s="1"/>
  <c r="F39" i="52"/>
  <c r="G39" i="52" s="1"/>
  <c r="K39" i="52"/>
  <c r="L39" i="52" s="1"/>
  <c r="Q39" i="52"/>
  <c r="R39" i="52" s="1"/>
  <c r="F39" i="51"/>
  <c r="G39" i="51" s="1"/>
  <c r="K39" i="51"/>
  <c r="L39" i="51" s="1"/>
  <c r="Q39" i="51"/>
  <c r="R39" i="51" s="1"/>
  <c r="F58" i="49"/>
  <c r="G58" i="49" s="1"/>
  <c r="K58" i="49"/>
  <c r="L58" i="49"/>
  <c r="Q58" i="49"/>
  <c r="R58" i="49" s="1"/>
  <c r="F62" i="48"/>
  <c r="G62" i="48"/>
  <c r="K62" i="48"/>
  <c r="S632" i="66" s="1"/>
  <c r="R62" i="48"/>
  <c r="Q62" i="44"/>
  <c r="R62" i="44" s="1"/>
  <c r="K62" i="44"/>
  <c r="L62" i="44" s="1"/>
  <c r="F62" i="44"/>
  <c r="G62" i="44" s="1"/>
  <c r="Q62" i="45"/>
  <c r="R62" i="45" s="1"/>
  <c r="K62" i="45"/>
  <c r="L62" i="45" s="1"/>
  <c r="F62" i="45"/>
  <c r="O598" i="66" s="1"/>
  <c r="L664" i="66"/>
  <c r="P664" i="66"/>
  <c r="T664" i="66"/>
  <c r="W664" i="66"/>
  <c r="X664" i="66"/>
  <c r="L631" i="66"/>
  <c r="P631" i="66"/>
  <c r="T631" i="66"/>
  <c r="W631" i="66"/>
  <c r="X631" i="66"/>
  <c r="L597" i="66"/>
  <c r="P597" i="66"/>
  <c r="T597" i="66"/>
  <c r="W597" i="66"/>
  <c r="X597" i="66"/>
  <c r="L564" i="66"/>
  <c r="P564" i="66"/>
  <c r="T564" i="66"/>
  <c r="W564" i="66"/>
  <c r="X564" i="66"/>
  <c r="L530" i="66"/>
  <c r="P530" i="66"/>
  <c r="T530" i="66"/>
  <c r="W530" i="66"/>
  <c r="X530" i="66"/>
  <c r="L498" i="66"/>
  <c r="P498" i="66"/>
  <c r="T498" i="66"/>
  <c r="W498" i="66"/>
  <c r="X498" i="66"/>
  <c r="L465" i="66"/>
  <c r="P465" i="66"/>
  <c r="S465" i="66"/>
  <c r="T465" i="66"/>
  <c r="W465" i="66"/>
  <c r="X465" i="66"/>
  <c r="L432" i="66"/>
  <c r="P432" i="66"/>
  <c r="T432" i="66"/>
  <c r="W432" i="66"/>
  <c r="X432" i="66"/>
  <c r="L399" i="66"/>
  <c r="P399" i="66"/>
  <c r="T399" i="66"/>
  <c r="W399" i="66"/>
  <c r="X399" i="66"/>
  <c r="L365" i="66"/>
  <c r="P365" i="66"/>
  <c r="T365" i="66"/>
  <c r="W365" i="66"/>
  <c r="X365" i="66"/>
  <c r="L332" i="66"/>
  <c r="P332" i="66"/>
  <c r="T332" i="66"/>
  <c r="W332" i="66"/>
  <c r="X332" i="66"/>
  <c r="L299" i="66"/>
  <c r="P299" i="66"/>
  <c r="T299" i="66"/>
  <c r="W299" i="66"/>
  <c r="X299" i="66"/>
  <c r="L266" i="66"/>
  <c r="P266" i="66"/>
  <c r="T266" i="66"/>
  <c r="W266" i="66"/>
  <c r="X266" i="66"/>
  <c r="K231" i="66"/>
  <c r="L231" i="66"/>
  <c r="M231" i="66"/>
  <c r="N231" i="66"/>
  <c r="O231" i="66"/>
  <c r="P231" i="66"/>
  <c r="S231" i="66"/>
  <c r="T231" i="66"/>
  <c r="L198" i="66"/>
  <c r="P198" i="66"/>
  <c r="T198" i="66"/>
  <c r="W198" i="66"/>
  <c r="X198" i="66"/>
  <c r="L165" i="66"/>
  <c r="P165" i="66"/>
  <c r="T165" i="66"/>
  <c r="W165" i="66"/>
  <c r="X165" i="66"/>
  <c r="L132" i="66"/>
  <c r="P132" i="66"/>
  <c r="T132" i="66"/>
  <c r="W132" i="66"/>
  <c r="X132" i="66"/>
  <c r="L100" i="66"/>
  <c r="P100" i="66"/>
  <c r="T100" i="66"/>
  <c r="W100" i="66"/>
  <c r="X100" i="66"/>
  <c r="W35" i="66"/>
  <c r="X35" i="66"/>
  <c r="L67" i="66"/>
  <c r="P67" i="66"/>
  <c r="T67" i="66"/>
  <c r="W67" i="66"/>
  <c r="X67" i="66"/>
  <c r="F38" i="65"/>
  <c r="G38" i="65" s="1"/>
  <c r="K38" i="65"/>
  <c r="S498" i="66" s="1"/>
  <c r="Q38" i="65"/>
  <c r="R38" i="65" s="1"/>
  <c r="F38" i="64"/>
  <c r="G38" i="64" s="1"/>
  <c r="I38" i="64" s="1"/>
  <c r="K38" i="64"/>
  <c r="L38" i="64" s="1"/>
  <c r="Q38" i="64"/>
  <c r="R38" i="64" s="1"/>
  <c r="F38" i="63"/>
  <c r="O432" i="66" s="1"/>
  <c r="K38" i="63"/>
  <c r="S432" i="66" s="1"/>
  <c r="Q38" i="63"/>
  <c r="R38" i="63" s="1"/>
  <c r="F38" i="62"/>
  <c r="G38" i="62" s="1"/>
  <c r="I38" i="62" s="1"/>
  <c r="K38" i="62"/>
  <c r="L38" i="62" s="1"/>
  <c r="Q38" i="62"/>
  <c r="R38" i="62" s="1"/>
  <c r="F38" i="61"/>
  <c r="O365" i="66" s="1"/>
  <c r="K38" i="61"/>
  <c r="L38" i="61" s="1"/>
  <c r="Q38" i="61"/>
  <c r="R38" i="61" s="1"/>
  <c r="F38" i="60"/>
  <c r="G38" i="60" s="1"/>
  <c r="K38" i="60"/>
  <c r="L38" i="60" s="1"/>
  <c r="Q38" i="60"/>
  <c r="R38" i="60" s="1"/>
  <c r="F38" i="59"/>
  <c r="O299" i="66" s="1"/>
  <c r="G38" i="59"/>
  <c r="K38" i="59"/>
  <c r="L38" i="59" s="1"/>
  <c r="Q38" i="59"/>
  <c r="R38" i="59" s="1"/>
  <c r="F38" i="58"/>
  <c r="O266" i="66" s="1"/>
  <c r="G38" i="58"/>
  <c r="K38" i="58"/>
  <c r="L38" i="58" s="1"/>
  <c r="Q38" i="58"/>
  <c r="R38" i="58" s="1"/>
  <c r="F38" i="56"/>
  <c r="O198" i="66" s="1"/>
  <c r="K38" i="56"/>
  <c r="L38" i="56" s="1"/>
  <c r="Q38" i="56"/>
  <c r="R38" i="56" s="1"/>
  <c r="F38" i="55"/>
  <c r="O165" i="66" s="1"/>
  <c r="K38" i="55"/>
  <c r="L38" i="55" s="1"/>
  <c r="Q38" i="55"/>
  <c r="R38" i="55" s="1"/>
  <c r="F38" i="54"/>
  <c r="O132" i="66" s="1"/>
  <c r="K38" i="54"/>
  <c r="L38" i="54" s="1"/>
  <c r="Q38" i="54"/>
  <c r="R38" i="54" s="1"/>
  <c r="F38" i="53"/>
  <c r="G38" i="53" s="1"/>
  <c r="K38" i="53"/>
  <c r="S100" i="66" s="1"/>
  <c r="Q38" i="53"/>
  <c r="R38" i="53" s="1"/>
  <c r="F38" i="52"/>
  <c r="G38" i="52" s="1"/>
  <c r="K38" i="52"/>
  <c r="L38" i="52" s="1"/>
  <c r="Q38" i="52"/>
  <c r="R38" i="52" s="1"/>
  <c r="F38" i="51"/>
  <c r="G38" i="51" s="1"/>
  <c r="K38" i="51"/>
  <c r="L38" i="51" s="1"/>
  <c r="Q38" i="51"/>
  <c r="R38" i="51" s="1"/>
  <c r="F57" i="49"/>
  <c r="G57" i="49" s="1"/>
  <c r="K57" i="49"/>
  <c r="L57" i="49" s="1"/>
  <c r="Q57" i="49"/>
  <c r="R57" i="49" s="1"/>
  <c r="F61" i="48"/>
  <c r="G61" i="48" s="1"/>
  <c r="K61" i="48"/>
  <c r="S631" i="66" s="1"/>
  <c r="Q61" i="48"/>
  <c r="R61" i="48" s="1"/>
  <c r="F61" i="44"/>
  <c r="G61" i="44" s="1"/>
  <c r="K61" i="44"/>
  <c r="S564" i="66" s="1"/>
  <c r="Q61" i="44"/>
  <c r="K564" i="66" s="1"/>
  <c r="F61" i="45"/>
  <c r="G61" i="45" s="1"/>
  <c r="K61" i="45"/>
  <c r="S597" i="66" s="1"/>
  <c r="F66" i="46"/>
  <c r="O530" i="66" s="1"/>
  <c r="K66" i="46"/>
  <c r="L66" i="46" s="1"/>
  <c r="Q66" i="46"/>
  <c r="R66" i="46" s="1"/>
  <c r="X34" i="66"/>
  <c r="W34" i="66"/>
  <c r="X66" i="66"/>
  <c r="W66" i="66"/>
  <c r="X99" i="66"/>
  <c r="W99" i="66"/>
  <c r="X131" i="66"/>
  <c r="W131" i="66"/>
  <c r="X164" i="66"/>
  <c r="W164" i="66"/>
  <c r="X230" i="66"/>
  <c r="W230" i="66"/>
  <c r="X197" i="66"/>
  <c r="W197" i="66"/>
  <c r="X265" i="66"/>
  <c r="W265" i="66"/>
  <c r="X298" i="66"/>
  <c r="W298" i="66"/>
  <c r="X331" i="66"/>
  <c r="W331" i="66"/>
  <c r="X364" i="66"/>
  <c r="W364" i="66"/>
  <c r="X398" i="66"/>
  <c r="W398" i="66"/>
  <c r="X431" i="66"/>
  <c r="W431" i="66"/>
  <c r="X663" i="66"/>
  <c r="W663" i="66"/>
  <c r="X630" i="66"/>
  <c r="W630" i="66"/>
  <c r="X596" i="66"/>
  <c r="W596" i="66"/>
  <c r="X563" i="66"/>
  <c r="W563" i="66"/>
  <c r="X529" i="66"/>
  <c r="W529" i="66"/>
  <c r="X464" i="66"/>
  <c r="W464" i="66"/>
  <c r="X497" i="66"/>
  <c r="W497" i="66"/>
  <c r="P60" i="45"/>
  <c r="L596" i="66" s="1"/>
  <c r="P596" i="66"/>
  <c r="Q37" i="65"/>
  <c r="R37" i="65" s="1"/>
  <c r="K37" i="65"/>
  <c r="L37" i="65" s="1"/>
  <c r="F37" i="65"/>
  <c r="G37" i="65" s="1"/>
  <c r="Q37" i="64"/>
  <c r="R37" i="64" s="1"/>
  <c r="K37" i="64"/>
  <c r="L37" i="64" s="1"/>
  <c r="F37" i="64"/>
  <c r="G37" i="64" s="1"/>
  <c r="I37" i="64" s="1"/>
  <c r="Q37" i="63"/>
  <c r="R37" i="63" s="1"/>
  <c r="K37" i="63"/>
  <c r="L37" i="63" s="1"/>
  <c r="F37" i="63"/>
  <c r="G37" i="63" s="1"/>
  <c r="Q37" i="62"/>
  <c r="R37" i="62" s="1"/>
  <c r="K37" i="62"/>
  <c r="L37" i="62" s="1"/>
  <c r="F37" i="62"/>
  <c r="G37" i="62" s="1"/>
  <c r="I37" i="62" s="1"/>
  <c r="Q37" i="61"/>
  <c r="R37" i="61" s="1"/>
  <c r="K37" i="61"/>
  <c r="L37" i="61" s="1"/>
  <c r="F37" i="61"/>
  <c r="O364" i="66" s="1"/>
  <c r="Q37" i="60"/>
  <c r="R37" i="60" s="1"/>
  <c r="K37" i="60"/>
  <c r="L37" i="60" s="1"/>
  <c r="F37" i="60"/>
  <c r="G37" i="60" s="1"/>
  <c r="Q37" i="59"/>
  <c r="K298" i="66" s="1"/>
  <c r="R37" i="59"/>
  <c r="K37" i="59"/>
  <c r="L37" i="59" s="1"/>
  <c r="F37" i="59"/>
  <c r="G37" i="59" s="1"/>
  <c r="Q37" i="58"/>
  <c r="R37" i="58" s="1"/>
  <c r="K37" i="58"/>
  <c r="L37" i="58" s="1"/>
  <c r="F37" i="58"/>
  <c r="G37" i="58" s="1"/>
  <c r="Q37" i="56"/>
  <c r="R37" i="56" s="1"/>
  <c r="K37" i="56"/>
  <c r="L37" i="56" s="1"/>
  <c r="F37" i="56"/>
  <c r="G37" i="56" s="1"/>
  <c r="Q37" i="55"/>
  <c r="R37" i="55" s="1"/>
  <c r="K37" i="55"/>
  <c r="L37" i="55"/>
  <c r="F37" i="55"/>
  <c r="G37" i="55" s="1"/>
  <c r="Q37" i="54"/>
  <c r="R37" i="54" s="1"/>
  <c r="K37" i="54"/>
  <c r="L37" i="54" s="1"/>
  <c r="F37" i="54"/>
  <c r="G37" i="54" s="1"/>
  <c r="Q37" i="53"/>
  <c r="R37" i="53" s="1"/>
  <c r="K37" i="53"/>
  <c r="L37" i="53" s="1"/>
  <c r="F37" i="53"/>
  <c r="G37" i="53" s="1"/>
  <c r="Q37" i="52"/>
  <c r="R37" i="52" s="1"/>
  <c r="K37" i="52"/>
  <c r="S66" i="66" s="1"/>
  <c r="L37" i="52"/>
  <c r="F37" i="52"/>
  <c r="G37" i="52" s="1"/>
  <c r="Q37" i="51"/>
  <c r="R37" i="51" s="1"/>
  <c r="K37" i="51"/>
  <c r="L37" i="51" s="1"/>
  <c r="Q56" i="49"/>
  <c r="K663" i="66" s="1"/>
  <c r="R56" i="49"/>
  <c r="K56" i="49"/>
  <c r="S663" i="66" s="1"/>
  <c r="F56" i="49"/>
  <c r="G56" i="49" s="1"/>
  <c r="Q60" i="48"/>
  <c r="R60" i="48" s="1"/>
  <c r="K60" i="48"/>
  <c r="L60" i="48" s="1"/>
  <c r="F60" i="48"/>
  <c r="O630" i="66" s="1"/>
  <c r="G60" i="48"/>
  <c r="Q60" i="44"/>
  <c r="R60" i="44" s="1"/>
  <c r="K60" i="44"/>
  <c r="L60" i="44" s="1"/>
  <c r="F60" i="44"/>
  <c r="G60" i="44" s="1"/>
  <c r="Q60" i="45"/>
  <c r="R60" i="45" s="1"/>
  <c r="K60" i="45"/>
  <c r="L60" i="45" s="1"/>
  <c r="F60" i="45"/>
  <c r="O596" i="66" s="1"/>
  <c r="Q65" i="46"/>
  <c r="R65" i="46" s="1"/>
  <c r="K65" i="46"/>
  <c r="L65" i="46" s="1"/>
  <c r="F65" i="46"/>
  <c r="G65" i="46" s="1"/>
  <c r="X662" i="66"/>
  <c r="X629" i="66"/>
  <c r="X595" i="66"/>
  <c r="X562" i="66"/>
  <c r="X528" i="66"/>
  <c r="W662" i="66"/>
  <c r="W629" i="66"/>
  <c r="W595" i="66"/>
  <c r="W562" i="66"/>
  <c r="W528" i="66"/>
  <c r="W397" i="66"/>
  <c r="W363" i="66"/>
  <c r="W330" i="66"/>
  <c r="W297" i="66"/>
  <c r="X397" i="66"/>
  <c r="X363" i="66"/>
  <c r="X330" i="66"/>
  <c r="X297" i="66"/>
  <c r="X264" i="66"/>
  <c r="W264" i="66"/>
  <c r="X196" i="66"/>
  <c r="W196" i="66"/>
  <c r="X163" i="66"/>
  <c r="W163" i="66"/>
  <c r="X130" i="66"/>
  <c r="W130" i="66"/>
  <c r="X98" i="66"/>
  <c r="W98" i="66"/>
  <c r="X65" i="66"/>
  <c r="W65" i="66"/>
  <c r="X33" i="66"/>
  <c r="W33" i="66"/>
  <c r="X430" i="66"/>
  <c r="W430" i="66"/>
  <c r="X463" i="66"/>
  <c r="W463" i="66"/>
  <c r="X496" i="66"/>
  <c r="W496" i="66"/>
  <c r="L663" i="66"/>
  <c r="O663" i="66"/>
  <c r="P663" i="66"/>
  <c r="T663" i="66"/>
  <c r="K665" i="66"/>
  <c r="L665" i="66"/>
  <c r="O665" i="66"/>
  <c r="P665" i="66"/>
  <c r="S665" i="66"/>
  <c r="T665" i="66"/>
  <c r="L660" i="66"/>
  <c r="P660" i="66"/>
  <c r="T660" i="66"/>
  <c r="L661" i="66"/>
  <c r="P661" i="66"/>
  <c r="T661" i="66"/>
  <c r="L662" i="66"/>
  <c r="P662" i="66"/>
  <c r="T662" i="66"/>
  <c r="L627" i="66"/>
  <c r="P627" i="66"/>
  <c r="T627" i="66"/>
  <c r="L628" i="66"/>
  <c r="P628" i="66"/>
  <c r="T628" i="66"/>
  <c r="L629" i="66"/>
  <c r="P629" i="66"/>
  <c r="T629" i="66"/>
  <c r="K630" i="66"/>
  <c r="L630" i="66"/>
  <c r="P630" i="66"/>
  <c r="S630" i="66"/>
  <c r="T630" i="66"/>
  <c r="K632" i="66"/>
  <c r="L632" i="66"/>
  <c r="O632" i="66"/>
  <c r="P632" i="66"/>
  <c r="T632" i="66"/>
  <c r="L593" i="66"/>
  <c r="P593" i="66"/>
  <c r="T593" i="66"/>
  <c r="L594" i="66"/>
  <c r="P594" i="66"/>
  <c r="T594" i="66"/>
  <c r="L595" i="66"/>
  <c r="P595" i="66"/>
  <c r="T595" i="66"/>
  <c r="K596" i="66"/>
  <c r="T596" i="66"/>
  <c r="K598" i="66"/>
  <c r="L598" i="66"/>
  <c r="P598" i="66"/>
  <c r="T598" i="66"/>
  <c r="K599" i="66"/>
  <c r="L599" i="66"/>
  <c r="O599" i="66"/>
  <c r="P599" i="66"/>
  <c r="S599" i="66"/>
  <c r="T599" i="66"/>
  <c r="K600" i="66"/>
  <c r="L600" i="66"/>
  <c r="O600" i="66"/>
  <c r="P600" i="66"/>
  <c r="S600" i="66"/>
  <c r="T600" i="66"/>
  <c r="L560" i="66"/>
  <c r="P560" i="66"/>
  <c r="T560" i="66"/>
  <c r="L561" i="66"/>
  <c r="P561" i="66"/>
  <c r="L562" i="66"/>
  <c r="P562" i="66"/>
  <c r="T562" i="66"/>
  <c r="L563" i="66"/>
  <c r="P563" i="66"/>
  <c r="T563" i="66"/>
  <c r="L565" i="66"/>
  <c r="O565" i="66"/>
  <c r="P565" i="66"/>
  <c r="S565" i="66"/>
  <c r="T565" i="66"/>
  <c r="K566" i="66"/>
  <c r="L566" i="66"/>
  <c r="O566" i="66"/>
  <c r="S566" i="66"/>
  <c r="P526" i="66"/>
  <c r="T526" i="66"/>
  <c r="L527" i="66"/>
  <c r="P527" i="66"/>
  <c r="T527" i="66"/>
  <c r="L528" i="66"/>
  <c r="P528" i="66"/>
  <c r="T528" i="66"/>
  <c r="L529" i="66"/>
  <c r="O529" i="66"/>
  <c r="P529" i="66"/>
  <c r="S529" i="66"/>
  <c r="T529" i="66"/>
  <c r="K531" i="66"/>
  <c r="L531" i="66"/>
  <c r="O531" i="66"/>
  <c r="P531" i="66"/>
  <c r="S531" i="66"/>
  <c r="T531" i="66"/>
  <c r="K532" i="66"/>
  <c r="L532" i="66"/>
  <c r="O532" i="66"/>
  <c r="P532" i="66"/>
  <c r="S532" i="66"/>
  <c r="T532" i="66"/>
  <c r="K533" i="66"/>
  <c r="L533" i="66"/>
  <c r="O533" i="66"/>
  <c r="P533" i="66"/>
  <c r="S533" i="66"/>
  <c r="T533" i="66"/>
  <c r="L493" i="66"/>
  <c r="P493" i="66"/>
  <c r="T493" i="66"/>
  <c r="P494" i="66"/>
  <c r="T494" i="66"/>
  <c r="L495" i="66"/>
  <c r="P495" i="66"/>
  <c r="T495" i="66"/>
  <c r="L496" i="66"/>
  <c r="P496" i="66"/>
  <c r="T496" i="66"/>
  <c r="L497" i="66"/>
  <c r="P497" i="66"/>
  <c r="S497" i="66"/>
  <c r="T497" i="66"/>
  <c r="L460" i="66"/>
  <c r="P460" i="66"/>
  <c r="L461" i="66"/>
  <c r="P461" i="66"/>
  <c r="T461" i="66"/>
  <c r="L462" i="66"/>
  <c r="P462" i="66"/>
  <c r="T462" i="66"/>
  <c r="L463" i="66"/>
  <c r="P463" i="66"/>
  <c r="T463" i="66"/>
  <c r="K464" i="66"/>
  <c r="L464" i="66"/>
  <c r="P464" i="66"/>
  <c r="T464" i="66"/>
  <c r="K466" i="66"/>
  <c r="L466" i="66"/>
  <c r="P466" i="66"/>
  <c r="T466" i="66"/>
  <c r="L429" i="66"/>
  <c r="P429" i="66"/>
  <c r="T429" i="66"/>
  <c r="L430" i="66"/>
  <c r="P430" i="66"/>
  <c r="T430" i="66"/>
  <c r="L431" i="66"/>
  <c r="P431" i="66"/>
  <c r="T431" i="66"/>
  <c r="K433" i="66"/>
  <c r="L433" i="66"/>
  <c r="O433" i="66"/>
  <c r="P433" i="66"/>
  <c r="S433" i="66"/>
  <c r="T433" i="66"/>
  <c r="L394" i="66"/>
  <c r="P394" i="66"/>
  <c r="T394" i="66"/>
  <c r="L395" i="66"/>
  <c r="P395" i="66"/>
  <c r="T395" i="66"/>
  <c r="L396" i="66"/>
  <c r="P396" i="66"/>
  <c r="T396" i="66"/>
  <c r="L397" i="66"/>
  <c r="P397" i="66"/>
  <c r="T397" i="66"/>
  <c r="K398" i="66"/>
  <c r="L398" i="66"/>
  <c r="P398" i="66"/>
  <c r="T398" i="66"/>
  <c r="K400" i="66"/>
  <c r="L400" i="66"/>
  <c r="P400" i="66"/>
  <c r="T400" i="66"/>
  <c r="K401" i="66"/>
  <c r="L401" i="66"/>
  <c r="O401" i="66"/>
  <c r="P401" i="66"/>
  <c r="S401" i="66"/>
  <c r="T401" i="66"/>
  <c r="P361" i="66"/>
  <c r="T361" i="66"/>
  <c r="L362" i="66"/>
  <c r="P362" i="66"/>
  <c r="T362" i="66"/>
  <c r="L363" i="66"/>
  <c r="P363" i="66"/>
  <c r="T363" i="66"/>
  <c r="L364" i="66"/>
  <c r="P364" i="66"/>
  <c r="T364" i="66"/>
  <c r="L366" i="66"/>
  <c r="P366" i="66"/>
  <c r="S366" i="66"/>
  <c r="T366" i="66"/>
  <c r="K367" i="66"/>
  <c r="L367" i="66"/>
  <c r="O367" i="66"/>
  <c r="P367" i="66"/>
  <c r="S367" i="66"/>
  <c r="T367" i="66"/>
  <c r="K368" i="66"/>
  <c r="L368" i="66"/>
  <c r="O368" i="66"/>
  <c r="P368" i="66"/>
  <c r="S368" i="66"/>
  <c r="T368" i="66"/>
  <c r="L327" i="66"/>
  <c r="P327" i="66"/>
  <c r="T327" i="66"/>
  <c r="L328" i="66"/>
  <c r="P328" i="66"/>
  <c r="T328" i="66"/>
  <c r="L329" i="66"/>
  <c r="P329" i="66"/>
  <c r="T329" i="66"/>
  <c r="L330" i="66"/>
  <c r="P330" i="66"/>
  <c r="T330" i="66"/>
  <c r="K331" i="66"/>
  <c r="L331" i="66"/>
  <c r="O331" i="66"/>
  <c r="P331" i="66"/>
  <c r="S331" i="66"/>
  <c r="T331" i="66"/>
  <c r="K333" i="66"/>
  <c r="L333" i="66"/>
  <c r="P333" i="66"/>
  <c r="T333" i="66"/>
  <c r="L295" i="66"/>
  <c r="P295" i="66"/>
  <c r="T295" i="66"/>
  <c r="L296" i="66"/>
  <c r="P296" i="66"/>
  <c r="T296" i="66"/>
  <c r="L297" i="66"/>
  <c r="P297" i="66"/>
  <c r="T297" i="66"/>
  <c r="L298" i="66"/>
  <c r="O298" i="66"/>
  <c r="P298" i="66"/>
  <c r="S298" i="66"/>
  <c r="T298" i="66"/>
  <c r="K300" i="66"/>
  <c r="L300" i="66"/>
  <c r="O300" i="66"/>
  <c r="P300" i="66"/>
  <c r="S300" i="66"/>
  <c r="T300" i="66"/>
  <c r="K301" i="66"/>
  <c r="L301" i="66"/>
  <c r="O301" i="66"/>
  <c r="P301" i="66"/>
  <c r="S301" i="66"/>
  <c r="T301" i="66"/>
  <c r="L262" i="66"/>
  <c r="P262" i="66"/>
  <c r="T262" i="66"/>
  <c r="L263" i="66"/>
  <c r="P263" i="66"/>
  <c r="T263" i="66"/>
  <c r="L264" i="66"/>
  <c r="P264" i="66"/>
  <c r="T264" i="66"/>
  <c r="K265" i="66"/>
  <c r="L265" i="66"/>
  <c r="P265" i="66"/>
  <c r="T265" i="66"/>
  <c r="K267" i="66"/>
  <c r="L267" i="66"/>
  <c r="O267" i="66"/>
  <c r="P267" i="66"/>
  <c r="S267" i="66"/>
  <c r="T267" i="66"/>
  <c r="K268" i="66"/>
  <c r="L268" i="66"/>
  <c r="O268" i="66"/>
  <c r="P268" i="66"/>
  <c r="S268" i="66"/>
  <c r="T268" i="66"/>
  <c r="K228" i="66"/>
  <c r="L228" i="66"/>
  <c r="M228" i="66"/>
  <c r="N228" i="66"/>
  <c r="O228" i="66"/>
  <c r="P228" i="66"/>
  <c r="S228" i="66"/>
  <c r="T228" i="66"/>
  <c r="U228" i="66"/>
  <c r="U229" i="66" s="1"/>
  <c r="K229" i="66"/>
  <c r="L229" i="66"/>
  <c r="M229" i="66"/>
  <c r="N229" i="66"/>
  <c r="O229" i="66"/>
  <c r="P229" i="66"/>
  <c r="S229" i="66"/>
  <c r="T229" i="66"/>
  <c r="K230" i="66"/>
  <c r="L230" i="66"/>
  <c r="M230" i="66"/>
  <c r="N230" i="66"/>
  <c r="O230" i="66"/>
  <c r="P230" i="66"/>
  <c r="S230" i="66"/>
  <c r="T230" i="66"/>
  <c r="U230" i="66"/>
  <c r="U231" i="66" s="1"/>
  <c r="K232" i="66"/>
  <c r="L232" i="66"/>
  <c r="M232" i="66"/>
  <c r="N232" i="66"/>
  <c r="O232" i="66"/>
  <c r="P232" i="66"/>
  <c r="S232" i="66"/>
  <c r="T232" i="66"/>
  <c r="U232" i="66"/>
  <c r="U233" i="66" s="1"/>
  <c r="K233" i="66"/>
  <c r="L233" i="66"/>
  <c r="M233" i="66"/>
  <c r="N233" i="66"/>
  <c r="O233" i="66"/>
  <c r="P233" i="66"/>
  <c r="S233" i="66"/>
  <c r="T233" i="66"/>
  <c r="K234" i="66"/>
  <c r="L234" i="66"/>
  <c r="M234" i="66"/>
  <c r="N234" i="66"/>
  <c r="O234" i="66"/>
  <c r="P234" i="66"/>
  <c r="S234" i="66"/>
  <c r="T234" i="66"/>
  <c r="U234" i="66"/>
  <c r="L194" i="66"/>
  <c r="P194" i="66"/>
  <c r="T194" i="66"/>
  <c r="L195" i="66"/>
  <c r="P195" i="66"/>
  <c r="T195" i="66"/>
  <c r="L196" i="66"/>
  <c r="P196" i="66"/>
  <c r="T196" i="66"/>
  <c r="L197" i="66"/>
  <c r="P197" i="66"/>
  <c r="T197" i="66"/>
  <c r="K199" i="66"/>
  <c r="L199" i="66"/>
  <c r="O199" i="66"/>
  <c r="P199" i="66"/>
  <c r="T199" i="66"/>
  <c r="K200" i="66"/>
  <c r="L200" i="66"/>
  <c r="O200" i="66"/>
  <c r="P200" i="66"/>
  <c r="S200" i="66"/>
  <c r="T200" i="66"/>
  <c r="P161" i="66"/>
  <c r="T161" i="66"/>
  <c r="L162" i="66"/>
  <c r="P162" i="66"/>
  <c r="T162" i="66"/>
  <c r="L163" i="66"/>
  <c r="P163" i="66"/>
  <c r="T163" i="66"/>
  <c r="L164" i="66"/>
  <c r="P164" i="66"/>
  <c r="S164" i="66"/>
  <c r="T164" i="66"/>
  <c r="L166" i="66"/>
  <c r="P166" i="66"/>
  <c r="S166" i="66"/>
  <c r="T166" i="66"/>
  <c r="K167" i="66"/>
  <c r="L167" i="66"/>
  <c r="O167" i="66"/>
  <c r="P167" i="66"/>
  <c r="S167" i="66"/>
  <c r="T167" i="66"/>
  <c r="L128" i="66"/>
  <c r="M128" i="66"/>
  <c r="M129" i="66" s="1"/>
  <c r="M130" i="66" s="1"/>
  <c r="M131" i="66" s="1"/>
  <c r="M132" i="66" s="1"/>
  <c r="P128" i="66"/>
  <c r="T128" i="66"/>
  <c r="U128" i="66"/>
  <c r="U129" i="66" s="1"/>
  <c r="U130" i="66" s="1"/>
  <c r="U131" i="66" s="1"/>
  <c r="U132" i="66" s="1"/>
  <c r="L129" i="66"/>
  <c r="P129" i="66"/>
  <c r="T129" i="66"/>
  <c r="L130" i="66"/>
  <c r="P130" i="66"/>
  <c r="T130" i="66"/>
  <c r="K131" i="66"/>
  <c r="L131" i="66"/>
  <c r="P131" i="66"/>
  <c r="T131" i="66"/>
  <c r="K133" i="66"/>
  <c r="L133" i="66"/>
  <c r="M133" i="66"/>
  <c r="M134" i="66" s="1"/>
  <c r="O133" i="66"/>
  <c r="P133" i="66"/>
  <c r="S133" i="66"/>
  <c r="T133" i="66"/>
  <c r="U133" i="66"/>
  <c r="U134" i="66" s="1"/>
  <c r="K134" i="66"/>
  <c r="L134" i="66"/>
  <c r="O134" i="66"/>
  <c r="P134" i="66"/>
  <c r="S134" i="66"/>
  <c r="T134" i="66"/>
  <c r="L96" i="66"/>
  <c r="P96" i="66"/>
  <c r="T96" i="66"/>
  <c r="L97" i="66"/>
  <c r="P97" i="66"/>
  <c r="T97" i="66"/>
  <c r="L98" i="66"/>
  <c r="P98" i="66"/>
  <c r="T98" i="66"/>
  <c r="L99" i="66"/>
  <c r="O99" i="66"/>
  <c r="P99" i="66"/>
  <c r="T99" i="66"/>
  <c r="K101" i="66"/>
  <c r="L101" i="66"/>
  <c r="O101" i="66"/>
  <c r="P101" i="66"/>
  <c r="S101" i="66"/>
  <c r="T101" i="66"/>
  <c r="L62" i="66"/>
  <c r="P62" i="66"/>
  <c r="T62" i="66"/>
  <c r="L63" i="66"/>
  <c r="P63" i="66"/>
  <c r="T63" i="66"/>
  <c r="L64" i="66"/>
  <c r="P64" i="66"/>
  <c r="T64" i="66"/>
  <c r="L65" i="66"/>
  <c r="P65" i="66"/>
  <c r="T65" i="66"/>
  <c r="K66" i="66"/>
  <c r="L66" i="66"/>
  <c r="P66" i="66"/>
  <c r="T66" i="66"/>
  <c r="K68" i="66"/>
  <c r="L68" i="66"/>
  <c r="O68" i="66"/>
  <c r="P68" i="66"/>
  <c r="S68" i="66"/>
  <c r="T68" i="66"/>
  <c r="L30" i="66"/>
  <c r="M30" i="66"/>
  <c r="M31" i="66" s="1"/>
  <c r="P30" i="66"/>
  <c r="T30" i="66"/>
  <c r="U30" i="66"/>
  <c r="U31" i="66" s="1"/>
  <c r="L31" i="66"/>
  <c r="P31" i="66"/>
  <c r="T31" i="66"/>
  <c r="L32" i="66"/>
  <c r="M32" i="66"/>
  <c r="M33" i="66" s="1"/>
  <c r="P32" i="66"/>
  <c r="T32" i="66"/>
  <c r="U32" i="66"/>
  <c r="U33" i="66" s="1"/>
  <c r="L33" i="66"/>
  <c r="T33" i="66"/>
  <c r="K34" i="66"/>
  <c r="L34" i="66"/>
  <c r="M34" i="66"/>
  <c r="M35" i="66" s="1"/>
  <c r="P34" i="66"/>
  <c r="T34" i="66"/>
  <c r="U34" i="66"/>
  <c r="U35" i="66" s="1"/>
  <c r="L35" i="66"/>
  <c r="P35" i="66"/>
  <c r="T35" i="66"/>
  <c r="K64" i="46"/>
  <c r="S528" i="66" s="1"/>
  <c r="F55" i="49"/>
  <c r="O662" i="66" s="1"/>
  <c r="E36" i="51"/>
  <c r="F37" i="51" s="1"/>
  <c r="Q36" i="65"/>
  <c r="K496" i="66" s="1"/>
  <c r="K36" i="65"/>
  <c r="S496" i="66" s="1"/>
  <c r="F36" i="65"/>
  <c r="O496" i="66" s="1"/>
  <c r="Q36" i="64"/>
  <c r="K463" i="66" s="1"/>
  <c r="K36" i="64"/>
  <c r="S463" i="66" s="1"/>
  <c r="F36" i="64"/>
  <c r="O463" i="66" s="1"/>
  <c r="Q36" i="63"/>
  <c r="K430" i="66" s="1"/>
  <c r="K36" i="63"/>
  <c r="S430" i="66" s="1"/>
  <c r="F36" i="63"/>
  <c r="Q36" i="62"/>
  <c r="K397" i="66" s="1"/>
  <c r="K36" i="62"/>
  <c r="L36" i="62" s="1"/>
  <c r="F36" i="62"/>
  <c r="O397" i="66" s="1"/>
  <c r="G36" i="62"/>
  <c r="I36" i="62" s="1"/>
  <c r="Q36" i="61"/>
  <c r="K363" i="66" s="1"/>
  <c r="R36" i="61"/>
  <c r="K36" i="61"/>
  <c r="L36" i="61" s="1"/>
  <c r="F36" i="61"/>
  <c r="O363" i="66" s="1"/>
  <c r="Q36" i="60"/>
  <c r="K36" i="60"/>
  <c r="S330" i="66" s="1"/>
  <c r="F36" i="60"/>
  <c r="O330" i="66" s="1"/>
  <c r="Q36" i="59"/>
  <c r="K297" i="66" s="1"/>
  <c r="K36" i="59"/>
  <c r="S297" i="66" s="1"/>
  <c r="F36" i="59"/>
  <c r="G36" i="59" s="1"/>
  <c r="Q36" i="58"/>
  <c r="K36" i="58"/>
  <c r="L36" i="58" s="1"/>
  <c r="F36" i="58"/>
  <c r="O264" i="66" s="1"/>
  <c r="Q36" i="56"/>
  <c r="K196" i="66" s="1"/>
  <c r="R36" i="56"/>
  <c r="K36" i="56"/>
  <c r="S196" i="66" s="1"/>
  <c r="F36" i="56"/>
  <c r="O196" i="66" s="1"/>
  <c r="G36" i="56"/>
  <c r="Q36" i="55"/>
  <c r="R36" i="55" s="1"/>
  <c r="K36" i="55"/>
  <c r="S163" i="66" s="1"/>
  <c r="F36" i="55"/>
  <c r="O163" i="66" s="1"/>
  <c r="Q36" i="54"/>
  <c r="R36" i="54" s="1"/>
  <c r="K36" i="54"/>
  <c r="S130" i="66" s="1"/>
  <c r="F36" i="54"/>
  <c r="O130" i="66" s="1"/>
  <c r="Q36" i="53"/>
  <c r="K98" i="66" s="1"/>
  <c r="K36" i="53"/>
  <c r="F36" i="53"/>
  <c r="O98" i="66" s="1"/>
  <c r="Q36" i="52"/>
  <c r="R36" i="52" s="1"/>
  <c r="K36" i="52"/>
  <c r="S65" i="66" s="1"/>
  <c r="L36" i="52"/>
  <c r="F36" i="52"/>
  <c r="Q36" i="51"/>
  <c r="R36" i="51" s="1"/>
  <c r="K36" i="51"/>
  <c r="F36" i="51"/>
  <c r="O33" i="66" s="1"/>
  <c r="Q55" i="49"/>
  <c r="K662" i="66" s="1"/>
  <c r="R55" i="49"/>
  <c r="K55" i="49"/>
  <c r="Q59" i="48"/>
  <c r="K629" i="66" s="1"/>
  <c r="R59" i="48"/>
  <c r="K59" i="48"/>
  <c r="F59" i="48"/>
  <c r="O629" i="66" s="1"/>
  <c r="Q59" i="45"/>
  <c r="K595" i="66" s="1"/>
  <c r="R59" i="45"/>
  <c r="K59" i="45"/>
  <c r="S595" i="66" s="1"/>
  <c r="F59" i="45"/>
  <c r="O595" i="66" s="1"/>
  <c r="Q64" i="46"/>
  <c r="K528" i="66" s="1"/>
  <c r="F64" i="46"/>
  <c r="G64" i="46" s="1"/>
  <c r="Q59" i="44"/>
  <c r="F59" i="44"/>
  <c r="Z54" i="48"/>
  <c r="G66" i="46" l="1"/>
  <c r="K163" i="66"/>
  <c r="K529" i="66"/>
  <c r="K565" i="66"/>
  <c r="L62" i="48"/>
  <c r="L64" i="46"/>
  <c r="G59" i="48"/>
  <c r="O164" i="66"/>
  <c r="K497" i="66"/>
  <c r="S598" i="66"/>
  <c r="L61" i="44"/>
  <c r="S198" i="66"/>
  <c r="O66" i="66"/>
  <c r="O166" i="66"/>
  <c r="K197" i="66"/>
  <c r="L36" i="64"/>
  <c r="O466" i="66"/>
  <c r="S530" i="66"/>
  <c r="K35" i="66"/>
  <c r="N35" i="66" s="1"/>
  <c r="S365" i="66"/>
  <c r="O431" i="66"/>
  <c r="L61" i="45"/>
  <c r="G38" i="61"/>
  <c r="S299" i="66"/>
  <c r="O465" i="66"/>
  <c r="O131" i="66"/>
  <c r="O497" i="66"/>
  <c r="K67" i="66"/>
  <c r="K198" i="66"/>
  <c r="K631" i="66"/>
  <c r="O631" i="66"/>
  <c r="G59" i="45"/>
  <c r="G36" i="64"/>
  <c r="I36" i="64" s="1"/>
  <c r="K166" i="66"/>
  <c r="L61" i="48"/>
  <c r="G38" i="54"/>
  <c r="K530" i="66"/>
  <c r="G62" i="45"/>
  <c r="S364" i="66"/>
  <c r="G37" i="61"/>
  <c r="L38" i="53"/>
  <c r="G38" i="56"/>
  <c r="O597" i="66"/>
  <c r="L36" i="65"/>
  <c r="L38" i="65"/>
  <c r="R36" i="65"/>
  <c r="G36" i="65"/>
  <c r="K465" i="66"/>
  <c r="S466" i="66"/>
  <c r="S464" i="66"/>
  <c r="O464" i="66"/>
  <c r="L38" i="63"/>
  <c r="K399" i="66"/>
  <c r="G36" i="61"/>
  <c r="K366" i="66"/>
  <c r="O366" i="66"/>
  <c r="K365" i="66"/>
  <c r="S332" i="66"/>
  <c r="R36" i="59"/>
  <c r="S265" i="66"/>
  <c r="K266" i="66"/>
  <c r="O265" i="66"/>
  <c r="O197" i="66"/>
  <c r="L36" i="56"/>
  <c r="S197" i="66"/>
  <c r="G38" i="55"/>
  <c r="K165" i="66"/>
  <c r="K164" i="66"/>
  <c r="S165" i="66"/>
  <c r="L36" i="55"/>
  <c r="S132" i="66"/>
  <c r="V132" i="66" s="1"/>
  <c r="R36" i="53"/>
  <c r="K100" i="66"/>
  <c r="S67" i="66"/>
  <c r="O67" i="66"/>
  <c r="S34" i="66"/>
  <c r="V34" i="66" s="1"/>
  <c r="S35" i="66"/>
  <c r="O35" i="66"/>
  <c r="O664" i="66"/>
  <c r="S664" i="66"/>
  <c r="K664" i="66"/>
  <c r="S266" i="66"/>
  <c r="K299" i="66"/>
  <c r="O332" i="66"/>
  <c r="L39" i="60"/>
  <c r="O333" i="66"/>
  <c r="K332" i="66"/>
  <c r="S397" i="66"/>
  <c r="R36" i="62"/>
  <c r="S400" i="66"/>
  <c r="S398" i="66"/>
  <c r="S399" i="66"/>
  <c r="O400" i="66"/>
  <c r="O399" i="66"/>
  <c r="K432" i="66"/>
  <c r="K431" i="66"/>
  <c r="S431" i="66"/>
  <c r="K132" i="66"/>
  <c r="N132" i="66" s="1"/>
  <c r="S131" i="66"/>
  <c r="V131" i="66" s="1"/>
  <c r="O498" i="66"/>
  <c r="K498" i="66"/>
  <c r="L36" i="60"/>
  <c r="O100" i="66"/>
  <c r="K99" i="66"/>
  <c r="O564" i="66"/>
  <c r="O563" i="66"/>
  <c r="S563" i="66"/>
  <c r="V231" i="66"/>
  <c r="O430" i="66"/>
  <c r="G36" i="63"/>
  <c r="G36" i="54"/>
  <c r="G36" i="55"/>
  <c r="L36" i="59"/>
  <c r="G36" i="60"/>
  <c r="O528" i="66"/>
  <c r="K330" i="66"/>
  <c r="R36" i="60"/>
  <c r="S98" i="66"/>
  <c r="L36" i="53"/>
  <c r="G36" i="52"/>
  <c r="O65" i="66"/>
  <c r="K264" i="66"/>
  <c r="R36" i="58"/>
  <c r="L59" i="48"/>
  <c r="S629" i="66"/>
  <c r="S363" i="66"/>
  <c r="G59" i="44"/>
  <c r="O562" i="66"/>
  <c r="K562" i="66"/>
  <c r="R59" i="44"/>
  <c r="R64" i="46"/>
  <c r="L59" i="45"/>
  <c r="G36" i="58"/>
  <c r="R36" i="64"/>
  <c r="P33" i="66"/>
  <c r="L36" i="51"/>
  <c r="S33" i="66"/>
  <c r="V33" i="66" s="1"/>
  <c r="L55" i="49"/>
  <c r="S662" i="66"/>
  <c r="S99" i="66"/>
  <c r="K563" i="66"/>
  <c r="O398" i="66"/>
  <c r="S596" i="66"/>
  <c r="L56" i="49"/>
  <c r="G38" i="63"/>
  <c r="Q61" i="45"/>
  <c r="K597" i="66" s="1"/>
  <c r="O297" i="66"/>
  <c r="L36" i="54"/>
  <c r="K130" i="66"/>
  <c r="N130" i="66" s="1"/>
  <c r="R61" i="44"/>
  <c r="G60" i="45"/>
  <c r="R36" i="63"/>
  <c r="L36" i="63"/>
  <c r="K364" i="66"/>
  <c r="S264" i="66"/>
  <c r="G36" i="53"/>
  <c r="K65" i="66"/>
  <c r="G37" i="51"/>
  <c r="O34" i="66"/>
  <c r="K33" i="66"/>
  <c r="N33" i="66" s="1"/>
  <c r="G36" i="51"/>
  <c r="G55" i="49"/>
  <c r="V234" i="66"/>
  <c r="V232" i="66"/>
  <c r="V230" i="66"/>
  <c r="V228" i="66"/>
  <c r="V233" i="66"/>
  <c r="V229" i="66"/>
  <c r="V133" i="66"/>
  <c r="V35" i="66"/>
  <c r="N131" i="66"/>
  <c r="V130" i="66"/>
  <c r="N134" i="66"/>
  <c r="V134" i="66"/>
  <c r="N133" i="66"/>
  <c r="N34" i="66"/>
  <c r="K35" i="65"/>
  <c r="S495" i="66" s="1"/>
  <c r="F35" i="65"/>
  <c r="O495" i="66" s="1"/>
  <c r="Q35" i="64"/>
  <c r="K462" i="66" s="1"/>
  <c r="K35" i="64"/>
  <c r="S462" i="66" s="1"/>
  <c r="F35" i="64"/>
  <c r="O462" i="66" s="1"/>
  <c r="J31" i="63"/>
  <c r="J32" i="63" s="1"/>
  <c r="E31" i="63"/>
  <c r="E32" i="63" s="1"/>
  <c r="F33" i="63" s="1"/>
  <c r="O427" i="66" s="1"/>
  <c r="J80" i="63"/>
  <c r="J81" i="63" s="1"/>
  <c r="E80" i="63"/>
  <c r="E81" i="63" s="1"/>
  <c r="Q35" i="62"/>
  <c r="K396" i="66" s="1"/>
  <c r="K35" i="62"/>
  <c r="S396" i="66" s="1"/>
  <c r="F35" i="62"/>
  <c r="O396" i="66" s="1"/>
  <c r="K35" i="61"/>
  <c r="F35" i="61"/>
  <c r="Q35" i="60"/>
  <c r="K35" i="60"/>
  <c r="F35" i="60"/>
  <c r="O329" i="66" s="1"/>
  <c r="Q35" i="59"/>
  <c r="K296" i="66" s="1"/>
  <c r="K35" i="59"/>
  <c r="S296" i="66" s="1"/>
  <c r="F35" i="59"/>
  <c r="O296" i="66" s="1"/>
  <c r="Q35" i="58"/>
  <c r="K263" i="66" s="1"/>
  <c r="K35" i="58"/>
  <c r="S263" i="66" s="1"/>
  <c r="F35" i="58"/>
  <c r="O263" i="66" s="1"/>
  <c r="J58" i="44"/>
  <c r="L35" i="58" l="1"/>
  <c r="G35" i="62"/>
  <c r="I35" i="62" s="1"/>
  <c r="G35" i="58"/>
  <c r="G35" i="59"/>
  <c r="L35" i="61"/>
  <c r="S362" i="66"/>
  <c r="L35" i="64"/>
  <c r="G35" i="65"/>
  <c r="R35" i="62"/>
  <c r="L35" i="60"/>
  <c r="S329" i="66"/>
  <c r="R35" i="58"/>
  <c r="R35" i="60"/>
  <c r="K329" i="66"/>
  <c r="G35" i="64"/>
  <c r="I35" i="64" s="1"/>
  <c r="R35" i="64"/>
  <c r="T561" i="66"/>
  <c r="K59" i="44"/>
  <c r="G35" i="60"/>
  <c r="G35" i="61"/>
  <c r="O362" i="66"/>
  <c r="L35" i="62"/>
  <c r="L35" i="65"/>
  <c r="R61" i="45"/>
  <c r="L35" i="59"/>
  <c r="R35" i="59"/>
  <c r="J33" i="63"/>
  <c r="T427" i="66" s="1"/>
  <c r="K33" i="63"/>
  <c r="S427" i="66" s="1"/>
  <c r="E33" i="63"/>
  <c r="P427" i="66" s="1"/>
  <c r="K53" i="49"/>
  <c r="S660" i="66" s="1"/>
  <c r="K54" i="49"/>
  <c r="S661" i="66" s="1"/>
  <c r="S562" i="66" l="1"/>
  <c r="L59" i="44"/>
  <c r="F34" i="63"/>
  <c r="O428" i="66" s="1"/>
  <c r="E34" i="63"/>
  <c r="P428" i="66" s="1"/>
  <c r="G33" i="63"/>
  <c r="L33" i="63"/>
  <c r="K34" i="63"/>
  <c r="S428" i="66" s="1"/>
  <c r="J34" i="63"/>
  <c r="T428" i="66" s="1"/>
  <c r="Q35" i="56"/>
  <c r="K195" i="66" s="1"/>
  <c r="R35" i="56"/>
  <c r="K35" i="56"/>
  <c r="F35" i="56"/>
  <c r="O195" i="66" s="1"/>
  <c r="K35" i="55"/>
  <c r="S162" i="66" s="1"/>
  <c r="F35" i="55"/>
  <c r="O162" i="66" s="1"/>
  <c r="Q35" i="54"/>
  <c r="K129" i="66" s="1"/>
  <c r="N129" i="66" s="1"/>
  <c r="K35" i="54"/>
  <c r="S129" i="66" s="1"/>
  <c r="V129" i="66" s="1"/>
  <c r="F35" i="54"/>
  <c r="O129" i="66" s="1"/>
  <c r="Q35" i="53"/>
  <c r="K97" i="66" s="1"/>
  <c r="K35" i="53"/>
  <c r="S97" i="66" s="1"/>
  <c r="F35" i="53"/>
  <c r="O97" i="66" s="1"/>
  <c r="Q35" i="52"/>
  <c r="K35" i="52"/>
  <c r="F35" i="52"/>
  <c r="Q35" i="51"/>
  <c r="K32" i="66" s="1"/>
  <c r="N32" i="66" s="1"/>
  <c r="K35" i="51"/>
  <c r="S32" i="66" s="1"/>
  <c r="V32" i="66" s="1"/>
  <c r="F35" i="51"/>
  <c r="O32" i="66" s="1"/>
  <c r="L35" i="55" l="1"/>
  <c r="G35" i="51"/>
  <c r="G35" i="56"/>
  <c r="L35" i="51"/>
  <c r="R35" i="54"/>
  <c r="R35" i="51"/>
  <c r="L35" i="53"/>
  <c r="R35" i="53"/>
  <c r="G35" i="55"/>
  <c r="L35" i="56"/>
  <c r="S195" i="66"/>
  <c r="L35" i="54"/>
  <c r="G35" i="54"/>
  <c r="G35" i="53"/>
  <c r="L35" i="52"/>
  <c r="S64" i="66"/>
  <c r="G35" i="52"/>
  <c r="O64" i="66"/>
  <c r="R35" i="52"/>
  <c r="K64" i="66"/>
  <c r="G34" i="63"/>
  <c r="F35" i="63"/>
  <c r="L34" i="63"/>
  <c r="K35" i="63"/>
  <c r="Q54" i="49"/>
  <c r="L54" i="49"/>
  <c r="F54" i="49"/>
  <c r="Q58" i="48"/>
  <c r="K628" i="66" s="1"/>
  <c r="K58" i="48"/>
  <c r="S628" i="66" s="1"/>
  <c r="F58" i="48"/>
  <c r="O628" i="66" s="1"/>
  <c r="Q58" i="44"/>
  <c r="K561" i="66" s="1"/>
  <c r="R58" i="44"/>
  <c r="K58" i="44"/>
  <c r="S561" i="66" s="1"/>
  <c r="F58" i="44"/>
  <c r="O561" i="66" s="1"/>
  <c r="Q58" i="45"/>
  <c r="K594" i="66" s="1"/>
  <c r="K58" i="45"/>
  <c r="S594" i="66" s="1"/>
  <c r="F58" i="45"/>
  <c r="O594" i="66" s="1"/>
  <c r="G58" i="45"/>
  <c r="K63" i="46"/>
  <c r="S527" i="66" s="1"/>
  <c r="F63" i="46"/>
  <c r="O527" i="66" s="1"/>
  <c r="P34" i="65"/>
  <c r="P34" i="61"/>
  <c r="P33" i="55"/>
  <c r="Q34" i="55" s="1"/>
  <c r="K161" i="66" s="1"/>
  <c r="J33" i="55"/>
  <c r="K34" i="55" s="1"/>
  <c r="E33" i="55"/>
  <c r="F34" i="55" s="1"/>
  <c r="Q33" i="55"/>
  <c r="K33" i="55"/>
  <c r="F33" i="55"/>
  <c r="P54" i="48"/>
  <c r="P55" i="48" s="1"/>
  <c r="J54" i="48"/>
  <c r="J55" i="48" s="1"/>
  <c r="E54" i="48"/>
  <c r="E55" i="48" s="1"/>
  <c r="K57" i="44"/>
  <c r="S560" i="66" s="1"/>
  <c r="L57" i="44"/>
  <c r="T566" i="66"/>
  <c r="Q57" i="44"/>
  <c r="P62" i="46"/>
  <c r="L526" i="66" s="1"/>
  <c r="L58" i="45" l="1"/>
  <c r="Q63" i="46"/>
  <c r="K527" i="66" s="1"/>
  <c r="G63" i="46"/>
  <c r="R58" i="48"/>
  <c r="L63" i="46"/>
  <c r="G58" i="44"/>
  <c r="L58" i="48"/>
  <c r="R58" i="45"/>
  <c r="O161" i="66"/>
  <c r="G34" i="55"/>
  <c r="Q35" i="61"/>
  <c r="L361" i="66"/>
  <c r="R57" i="44"/>
  <c r="K560" i="66"/>
  <c r="L34" i="55"/>
  <c r="S161" i="66"/>
  <c r="G33" i="55"/>
  <c r="L33" i="55"/>
  <c r="L494" i="66"/>
  <c r="Q35" i="65"/>
  <c r="L58" i="44"/>
  <c r="G58" i="48"/>
  <c r="L35" i="63"/>
  <c r="S429" i="66"/>
  <c r="G35" i="63"/>
  <c r="O429" i="66"/>
  <c r="R54" i="49"/>
  <c r="K661" i="66"/>
  <c r="G54" i="49"/>
  <c r="O661" i="66"/>
  <c r="R33" i="55"/>
  <c r="K56" i="48"/>
  <c r="S626" i="66" s="1"/>
  <c r="J56" i="48"/>
  <c r="Q56" i="48"/>
  <c r="K626" i="66" s="1"/>
  <c r="P56" i="48"/>
  <c r="E56" i="48"/>
  <c r="P626" i="66" s="1"/>
  <c r="F56" i="48"/>
  <c r="O626" i="66" s="1"/>
  <c r="P34" i="55"/>
  <c r="R63" i="46" l="1"/>
  <c r="L56" i="48"/>
  <c r="K57" i="48"/>
  <c r="T626" i="66"/>
  <c r="L161" i="66"/>
  <c r="Q35" i="55"/>
  <c r="R35" i="61"/>
  <c r="K362" i="66"/>
  <c r="Q57" i="48"/>
  <c r="L626" i="66"/>
  <c r="K495" i="66"/>
  <c r="R35" i="65"/>
  <c r="F57" i="48"/>
  <c r="G56" i="48"/>
  <c r="R34" i="55"/>
  <c r="R56" i="48"/>
  <c r="Q34" i="65"/>
  <c r="K34" i="65"/>
  <c r="F34" i="65"/>
  <c r="Q34" i="64"/>
  <c r="F34" i="64"/>
  <c r="Q34" i="62"/>
  <c r="K34" i="62"/>
  <c r="F34" i="62"/>
  <c r="Q34" i="61"/>
  <c r="K34" i="61"/>
  <c r="F34" i="61"/>
  <c r="Q34" i="60"/>
  <c r="K34" i="60"/>
  <c r="F34" i="60"/>
  <c r="Q34" i="59"/>
  <c r="K34" i="59"/>
  <c r="F34" i="59"/>
  <c r="F34" i="58"/>
  <c r="Q34" i="56"/>
  <c r="K34" i="56"/>
  <c r="F34" i="56"/>
  <c r="Q34" i="54"/>
  <c r="K34" i="54"/>
  <c r="F34" i="54"/>
  <c r="Q34" i="53"/>
  <c r="K34" i="53"/>
  <c r="F34" i="53"/>
  <c r="Q34" i="52"/>
  <c r="K34" i="52"/>
  <c r="F34" i="52"/>
  <c r="Q34" i="51"/>
  <c r="K34" i="51"/>
  <c r="F34" i="51"/>
  <c r="Q53" i="49"/>
  <c r="L53" i="49"/>
  <c r="F53" i="49"/>
  <c r="Q57" i="45"/>
  <c r="K57" i="45"/>
  <c r="S593" i="66" s="1"/>
  <c r="F57" i="45"/>
  <c r="L34" i="56" l="1"/>
  <c r="S194" i="66"/>
  <c r="G34" i="60"/>
  <c r="O328" i="66"/>
  <c r="G34" i="62"/>
  <c r="I34" i="62" s="1"/>
  <c r="O395" i="66"/>
  <c r="L34" i="65"/>
  <c r="S494" i="66"/>
  <c r="R57" i="45"/>
  <c r="K593" i="66"/>
  <c r="R34" i="56"/>
  <c r="K194" i="66"/>
  <c r="L34" i="60"/>
  <c r="S328" i="66"/>
  <c r="L34" i="62"/>
  <c r="S395" i="66"/>
  <c r="R34" i="65"/>
  <c r="K494" i="66"/>
  <c r="R34" i="60"/>
  <c r="K328" i="66"/>
  <c r="G34" i="61"/>
  <c r="O361" i="66"/>
  <c r="G34" i="64"/>
  <c r="I34" i="64" s="1"/>
  <c r="O461" i="66"/>
  <c r="L34" i="61"/>
  <c r="S361" i="66"/>
  <c r="R34" i="64"/>
  <c r="K461" i="66"/>
  <c r="R34" i="62"/>
  <c r="K395" i="66"/>
  <c r="K162" i="66"/>
  <c r="R35" i="55"/>
  <c r="R57" i="48"/>
  <c r="K627" i="66"/>
  <c r="G57" i="45"/>
  <c r="O593" i="66"/>
  <c r="L57" i="45"/>
  <c r="G34" i="56"/>
  <c r="O194" i="66"/>
  <c r="R34" i="61"/>
  <c r="K361" i="66"/>
  <c r="G34" i="65"/>
  <c r="O494" i="66"/>
  <c r="G57" i="48"/>
  <c r="O627" i="66"/>
  <c r="L57" i="48"/>
  <c r="S627" i="66"/>
  <c r="G34" i="59"/>
  <c r="O295" i="66"/>
  <c r="L34" i="59"/>
  <c r="S295" i="66"/>
  <c r="R34" i="59"/>
  <c r="K295" i="66"/>
  <c r="G34" i="54"/>
  <c r="O128" i="66"/>
  <c r="L34" i="54"/>
  <c r="S128" i="66"/>
  <c r="V128" i="66" s="1"/>
  <c r="R34" i="54"/>
  <c r="K128" i="66"/>
  <c r="N128" i="66" s="1"/>
  <c r="G34" i="58"/>
  <c r="O262" i="66"/>
  <c r="R34" i="53"/>
  <c r="K96" i="66"/>
  <c r="L34" i="53"/>
  <c r="S96" i="66"/>
  <c r="G34" i="53"/>
  <c r="O96" i="66"/>
  <c r="G34" i="52"/>
  <c r="O63" i="66"/>
  <c r="R34" i="52"/>
  <c r="K63" i="66"/>
  <c r="L34" i="52"/>
  <c r="S63" i="66"/>
  <c r="R34" i="51"/>
  <c r="K31" i="66"/>
  <c r="N31" i="66" s="1"/>
  <c r="L34" i="51"/>
  <c r="S31" i="66"/>
  <c r="V31" i="66" s="1"/>
  <c r="G34" i="51"/>
  <c r="O31" i="66"/>
  <c r="G53" i="49"/>
  <c r="O660" i="66"/>
  <c r="R53" i="49"/>
  <c r="K660" i="66"/>
  <c r="Q62" i="46"/>
  <c r="K62" i="46"/>
  <c r="F62" i="46"/>
  <c r="G62" i="46" l="1"/>
  <c r="O526" i="66"/>
  <c r="L62" i="46"/>
  <c r="S526" i="66"/>
  <c r="R62" i="46"/>
  <c r="K526" i="66"/>
  <c r="P31" i="65"/>
  <c r="P32" i="65" s="1"/>
  <c r="J31" i="65"/>
  <c r="J32" i="65" s="1"/>
  <c r="E31" i="65"/>
  <c r="E32" i="65" s="1"/>
  <c r="P73" i="65"/>
  <c r="Q73" i="65" s="1"/>
  <c r="J73" i="65"/>
  <c r="K73" i="65" s="1"/>
  <c r="E73" i="65"/>
  <c r="F73" i="65" s="1"/>
  <c r="P31" i="64"/>
  <c r="P32" i="64" s="1"/>
  <c r="J31" i="64"/>
  <c r="J32" i="64" s="1"/>
  <c r="J33" i="64" s="1"/>
  <c r="T460" i="66" s="1"/>
  <c r="E31" i="64"/>
  <c r="E32" i="64" s="1"/>
  <c r="P78" i="64"/>
  <c r="Q78" i="64" s="1"/>
  <c r="E78" i="64"/>
  <c r="F78" i="64" s="1"/>
  <c r="P31" i="62"/>
  <c r="P32" i="62" s="1"/>
  <c r="J31" i="62"/>
  <c r="J32" i="62" s="1"/>
  <c r="E31" i="62"/>
  <c r="E32" i="62" s="1"/>
  <c r="E73" i="62"/>
  <c r="F73" i="62" s="1"/>
  <c r="J73" i="62"/>
  <c r="K73" i="62" s="1"/>
  <c r="P73" i="62"/>
  <c r="Q73" i="62" s="1"/>
  <c r="P31" i="60"/>
  <c r="P32" i="60" s="1"/>
  <c r="J31" i="60"/>
  <c r="J32" i="60" s="1"/>
  <c r="P73" i="60"/>
  <c r="Q73" i="60" s="1"/>
  <c r="J73" i="60"/>
  <c r="K73" i="60" s="1"/>
  <c r="E31" i="60"/>
  <c r="E32" i="60" s="1"/>
  <c r="E73" i="60"/>
  <c r="F73" i="60" s="1"/>
  <c r="J31" i="58"/>
  <c r="J32" i="58" s="1"/>
  <c r="J33" i="58" s="1"/>
  <c r="K34" i="58" s="1"/>
  <c r="P31" i="58"/>
  <c r="P32" i="58" s="1"/>
  <c r="P33" i="58" s="1"/>
  <c r="Q34" i="58" s="1"/>
  <c r="L34" i="58" l="1"/>
  <c r="S262" i="66"/>
  <c r="R34" i="58"/>
  <c r="K262" i="66"/>
  <c r="K34" i="64"/>
  <c r="J78" i="64"/>
  <c r="K78" i="64" s="1"/>
  <c r="Q33" i="58"/>
  <c r="R33" i="58" s="1"/>
  <c r="Q33" i="65"/>
  <c r="K33" i="65"/>
  <c r="F33" i="65"/>
  <c r="Q33" i="64"/>
  <c r="K460" i="66" s="1"/>
  <c r="R33" i="64"/>
  <c r="K33" i="64"/>
  <c r="F33" i="64"/>
  <c r="Q33" i="62"/>
  <c r="K394" i="66" s="1"/>
  <c r="K33" i="62"/>
  <c r="S394" i="66" s="1"/>
  <c r="F33" i="62"/>
  <c r="Q33" i="61"/>
  <c r="R33" i="61" s="1"/>
  <c r="K33" i="61"/>
  <c r="L33" i="61" s="1"/>
  <c r="F33" i="61"/>
  <c r="G33" i="61"/>
  <c r="Q33" i="60"/>
  <c r="K327" i="66" s="1"/>
  <c r="K33" i="60"/>
  <c r="F33" i="60"/>
  <c r="Q33" i="59"/>
  <c r="R33" i="59" s="1"/>
  <c r="K33" i="59"/>
  <c r="L33" i="59" s="1"/>
  <c r="F33" i="59"/>
  <c r="G33" i="59" s="1"/>
  <c r="K33" i="58"/>
  <c r="L33" i="58" s="1"/>
  <c r="F33" i="58"/>
  <c r="G33" i="58" s="1"/>
  <c r="L33" i="62" l="1"/>
  <c r="R33" i="60"/>
  <c r="L34" i="64"/>
  <c r="S461" i="66"/>
  <c r="R33" i="62"/>
  <c r="G33" i="65"/>
  <c r="O493" i="66"/>
  <c r="G33" i="64"/>
  <c r="I33" i="64" s="1"/>
  <c r="O460" i="66"/>
  <c r="R33" i="65"/>
  <c r="K493" i="66"/>
  <c r="G33" i="60"/>
  <c r="O327" i="66"/>
  <c r="L33" i="60"/>
  <c r="S327" i="66"/>
  <c r="L33" i="65"/>
  <c r="S493" i="66"/>
  <c r="G33" i="62"/>
  <c r="I33" i="62" s="1"/>
  <c r="O394" i="66"/>
  <c r="L33" i="64"/>
  <c r="S460" i="66"/>
  <c r="Q33" i="56"/>
  <c r="R33" i="56" s="1"/>
  <c r="K33" i="56"/>
  <c r="L33" i="56" s="1"/>
  <c r="F33" i="56"/>
  <c r="G33" i="56" s="1"/>
  <c r="Q33" i="54"/>
  <c r="R33" i="54" s="1"/>
  <c r="K33" i="54"/>
  <c r="L33" i="54" s="1"/>
  <c r="F33" i="54"/>
  <c r="G33" i="54" s="1"/>
  <c r="Q33" i="53"/>
  <c r="R33" i="53" s="1"/>
  <c r="K33" i="53"/>
  <c r="L33" i="53" s="1"/>
  <c r="F33" i="53"/>
  <c r="G33" i="53" s="1"/>
  <c r="Q33" i="52"/>
  <c r="K33" i="52"/>
  <c r="F33" i="52"/>
  <c r="O62" i="66" s="1"/>
  <c r="Q33" i="51"/>
  <c r="K30" i="66" s="1"/>
  <c r="N30" i="66" s="1"/>
  <c r="K33" i="51"/>
  <c r="S30" i="66" s="1"/>
  <c r="V30" i="66" s="1"/>
  <c r="F33" i="51"/>
  <c r="O30" i="66" s="1"/>
  <c r="Q52" i="49"/>
  <c r="R52" i="49" s="1"/>
  <c r="K52" i="49"/>
  <c r="L52" i="49" s="1"/>
  <c r="F52" i="49"/>
  <c r="G52" i="49" s="1"/>
  <c r="Q56" i="45"/>
  <c r="R56" i="45" s="1"/>
  <c r="K56" i="45"/>
  <c r="L56" i="45" s="1"/>
  <c r="F56" i="45"/>
  <c r="G56" i="45" s="1"/>
  <c r="Q61" i="46"/>
  <c r="R61" i="46" s="1"/>
  <c r="K61" i="46"/>
  <c r="L61" i="46" s="1"/>
  <c r="F61" i="46"/>
  <c r="G61" i="46" s="1"/>
  <c r="K56" i="44"/>
  <c r="L56" i="44" s="1"/>
  <c r="Q56" i="44"/>
  <c r="R56" i="44" s="1"/>
  <c r="R33" i="51" l="1"/>
  <c r="L33" i="52"/>
  <c r="S62" i="66"/>
  <c r="R33" i="52"/>
  <c r="K62" i="66"/>
  <c r="G33" i="52"/>
  <c r="L33" i="51"/>
  <c r="G33" i="51"/>
  <c r="K659" i="66"/>
  <c r="L659" i="66"/>
  <c r="O659" i="66"/>
  <c r="P659" i="66"/>
  <c r="S659" i="66"/>
  <c r="T659" i="66"/>
  <c r="L657" i="66"/>
  <c r="P657" i="66"/>
  <c r="T657" i="66"/>
  <c r="L658" i="66"/>
  <c r="P658" i="66"/>
  <c r="T658" i="66"/>
  <c r="L625" i="66"/>
  <c r="P625" i="66"/>
  <c r="T625" i="66"/>
  <c r="L591" i="66"/>
  <c r="P591" i="66"/>
  <c r="T591" i="66"/>
  <c r="K592" i="66"/>
  <c r="L592" i="66"/>
  <c r="O592" i="66"/>
  <c r="P592" i="66"/>
  <c r="S592" i="66"/>
  <c r="T592" i="66"/>
  <c r="L558" i="66"/>
  <c r="T558" i="66"/>
  <c r="K559" i="66"/>
  <c r="L559" i="66"/>
  <c r="S559" i="66"/>
  <c r="T559" i="66"/>
  <c r="K525" i="66"/>
  <c r="L525" i="66"/>
  <c r="O525" i="66"/>
  <c r="P525" i="66"/>
  <c r="S525" i="66"/>
  <c r="T525" i="66"/>
  <c r="L524" i="66"/>
  <c r="P524" i="66"/>
  <c r="T524" i="66"/>
  <c r="L492" i="66"/>
  <c r="P492" i="66"/>
  <c r="T492" i="66"/>
  <c r="L459" i="66"/>
  <c r="P459" i="66"/>
  <c r="T459" i="66"/>
  <c r="P426" i="66"/>
  <c r="T426" i="66"/>
  <c r="L393" i="66"/>
  <c r="P393" i="66"/>
  <c r="T393" i="66"/>
  <c r="L359" i="66"/>
  <c r="P359" i="66"/>
  <c r="T359" i="66"/>
  <c r="K360" i="66"/>
  <c r="L360" i="66"/>
  <c r="O360" i="66"/>
  <c r="P360" i="66"/>
  <c r="S360" i="66"/>
  <c r="T360" i="66"/>
  <c r="L326" i="66"/>
  <c r="P326" i="66"/>
  <c r="T326" i="66"/>
  <c r="L293" i="66"/>
  <c r="P293" i="66"/>
  <c r="T293" i="66"/>
  <c r="K294" i="66"/>
  <c r="L294" i="66"/>
  <c r="O294" i="66"/>
  <c r="P294" i="66"/>
  <c r="S294" i="66"/>
  <c r="T294" i="66"/>
  <c r="L259" i="66"/>
  <c r="P259" i="66"/>
  <c r="T259" i="66"/>
  <c r="L260" i="66"/>
  <c r="P260" i="66"/>
  <c r="T260" i="66"/>
  <c r="K261" i="66"/>
  <c r="L261" i="66"/>
  <c r="O261" i="66"/>
  <c r="P261" i="66"/>
  <c r="S261" i="66"/>
  <c r="T261" i="66"/>
  <c r="K226" i="66"/>
  <c r="L226" i="66"/>
  <c r="M226" i="66"/>
  <c r="N226" i="66"/>
  <c r="O226" i="66"/>
  <c r="P226" i="66"/>
  <c r="S226" i="66"/>
  <c r="T226" i="66"/>
  <c r="U226" i="66"/>
  <c r="U227" i="66" s="1"/>
  <c r="K227" i="66"/>
  <c r="L227" i="66"/>
  <c r="M227" i="66"/>
  <c r="N227" i="66"/>
  <c r="O227" i="66"/>
  <c r="P227" i="66"/>
  <c r="S227" i="66"/>
  <c r="T227" i="66"/>
  <c r="K193" i="66"/>
  <c r="L193" i="66"/>
  <c r="O193" i="66"/>
  <c r="P193" i="66"/>
  <c r="S193" i="66"/>
  <c r="T193" i="66"/>
  <c r="L192" i="66"/>
  <c r="P192" i="66"/>
  <c r="T192" i="66"/>
  <c r="K160" i="66"/>
  <c r="L160" i="66"/>
  <c r="O160" i="66"/>
  <c r="P160" i="66"/>
  <c r="S160" i="66"/>
  <c r="T160" i="66"/>
  <c r="L159" i="66"/>
  <c r="P159" i="66"/>
  <c r="T159" i="66"/>
  <c r="K127" i="66"/>
  <c r="L127" i="66"/>
  <c r="O127" i="66"/>
  <c r="P127" i="66"/>
  <c r="S127" i="66"/>
  <c r="T127" i="66"/>
  <c r="L126" i="66"/>
  <c r="P126" i="66"/>
  <c r="T126" i="66"/>
  <c r="L94" i="66"/>
  <c r="P94" i="66"/>
  <c r="T94" i="66"/>
  <c r="K95" i="66"/>
  <c r="L95" i="66"/>
  <c r="O95" i="66"/>
  <c r="P95" i="66"/>
  <c r="S95" i="66"/>
  <c r="T95" i="66"/>
  <c r="L61" i="66"/>
  <c r="P61" i="66"/>
  <c r="T61" i="66"/>
  <c r="L29" i="66"/>
  <c r="P29" i="66"/>
  <c r="T29" i="66"/>
  <c r="V227" i="66" l="1"/>
  <c r="V226" i="66"/>
  <c r="F32" i="63"/>
  <c r="O426" i="66" s="1"/>
  <c r="K32" i="63"/>
  <c r="S426" i="66" s="1"/>
  <c r="F32" i="65"/>
  <c r="O492" i="66" s="1"/>
  <c r="K32" i="65"/>
  <c r="S492" i="66" s="1"/>
  <c r="Q32" i="65"/>
  <c r="K492" i="66" s="1"/>
  <c r="F32" i="64"/>
  <c r="O459" i="66" s="1"/>
  <c r="K32" i="64"/>
  <c r="S459" i="66" s="1"/>
  <c r="Q32" i="64"/>
  <c r="K459" i="66" s="1"/>
  <c r="F32" i="62"/>
  <c r="O393" i="66" s="1"/>
  <c r="K32" i="62"/>
  <c r="S393" i="66" s="1"/>
  <c r="Q32" i="62"/>
  <c r="K393" i="66" s="1"/>
  <c r="Q32" i="61"/>
  <c r="K359" i="66" s="1"/>
  <c r="K32" i="61"/>
  <c r="S359" i="66" s="1"/>
  <c r="F32" i="61"/>
  <c r="O359" i="66" s="1"/>
  <c r="F32" i="60"/>
  <c r="O326" i="66" s="1"/>
  <c r="K32" i="60"/>
  <c r="S326" i="66" s="1"/>
  <c r="Q32" i="60"/>
  <c r="K326" i="66" s="1"/>
  <c r="Q32" i="59"/>
  <c r="K293" i="66" s="1"/>
  <c r="K32" i="59"/>
  <c r="S293" i="66" s="1"/>
  <c r="F32" i="58"/>
  <c r="O260" i="66" s="1"/>
  <c r="K32" i="58"/>
  <c r="S260" i="66" s="1"/>
  <c r="Q32" i="58"/>
  <c r="K260" i="66" s="1"/>
  <c r="Q32" i="56"/>
  <c r="K192" i="66" s="1"/>
  <c r="K32" i="56"/>
  <c r="F32" i="56"/>
  <c r="O192" i="66" s="1"/>
  <c r="Q32" i="55"/>
  <c r="K159" i="66" s="1"/>
  <c r="K32" i="55"/>
  <c r="S159" i="66" s="1"/>
  <c r="F32" i="55"/>
  <c r="Q32" i="54"/>
  <c r="K126" i="66" s="1"/>
  <c r="K32" i="54"/>
  <c r="S126" i="66" s="1"/>
  <c r="F32" i="54"/>
  <c r="O126" i="66" s="1"/>
  <c r="Q32" i="53"/>
  <c r="K94" i="66" s="1"/>
  <c r="K32" i="53"/>
  <c r="S94" i="66" s="1"/>
  <c r="F32" i="53"/>
  <c r="O94" i="66" s="1"/>
  <c r="Q32" i="52"/>
  <c r="K61" i="66" s="1"/>
  <c r="K32" i="52"/>
  <c r="S61" i="66" s="1"/>
  <c r="L32" i="52"/>
  <c r="F32" i="52"/>
  <c r="O61" i="66" s="1"/>
  <c r="K32" i="51"/>
  <c r="S29" i="66" s="1"/>
  <c r="F32" i="51"/>
  <c r="O29" i="66" s="1"/>
  <c r="Q51" i="49"/>
  <c r="K658" i="66" s="1"/>
  <c r="K51" i="49"/>
  <c r="S658" i="66" s="1"/>
  <c r="F51" i="49"/>
  <c r="O658" i="66" s="1"/>
  <c r="F55" i="48"/>
  <c r="K55" i="48"/>
  <c r="Q55" i="48"/>
  <c r="K55" i="44"/>
  <c r="S558" i="66" s="1"/>
  <c r="Q55" i="44"/>
  <c r="K558" i="66" s="1"/>
  <c r="Q55" i="45"/>
  <c r="K591" i="66" s="1"/>
  <c r="K55" i="45"/>
  <c r="S591" i="66" s="1"/>
  <c r="F55" i="45"/>
  <c r="O591" i="66" s="1"/>
  <c r="R55" i="45" l="1"/>
  <c r="L55" i="45"/>
  <c r="L32" i="59"/>
  <c r="R32" i="54"/>
  <c r="L51" i="49"/>
  <c r="L55" i="44"/>
  <c r="G55" i="45"/>
  <c r="R55" i="44"/>
  <c r="R32" i="59"/>
  <c r="G32" i="56"/>
  <c r="L32" i="62"/>
  <c r="G32" i="53"/>
  <c r="R32" i="60"/>
  <c r="G32" i="58"/>
  <c r="R32" i="55"/>
  <c r="L32" i="55"/>
  <c r="G32" i="54"/>
  <c r="L32" i="54"/>
  <c r="R32" i="53"/>
  <c r="L32" i="53"/>
  <c r="G32" i="51"/>
  <c r="L32" i="56"/>
  <c r="S192" i="66"/>
  <c r="G32" i="55"/>
  <c r="O159" i="66"/>
  <c r="R32" i="56"/>
  <c r="L32" i="61"/>
  <c r="G32" i="63"/>
  <c r="G51" i="49"/>
  <c r="R51" i="49"/>
  <c r="L32" i="51"/>
  <c r="G32" i="52"/>
  <c r="R32" i="52"/>
  <c r="R32" i="58"/>
  <c r="G32" i="61"/>
  <c r="R32" i="61"/>
  <c r="G32" i="65"/>
  <c r="L32" i="63"/>
  <c r="R55" i="48"/>
  <c r="K625" i="66"/>
  <c r="L55" i="48"/>
  <c r="S625" i="66"/>
  <c r="G55" i="48"/>
  <c r="O625" i="66"/>
  <c r="R32" i="65"/>
  <c r="L32" i="65"/>
  <c r="R32" i="64"/>
  <c r="L32" i="64"/>
  <c r="G32" i="64"/>
  <c r="I32" i="64" s="1"/>
  <c r="R32" i="62"/>
  <c r="G32" i="62"/>
  <c r="I32" i="62" s="1"/>
  <c r="L32" i="60"/>
  <c r="G32" i="60"/>
  <c r="L32" i="58"/>
  <c r="Q60" i="46"/>
  <c r="K524" i="66" s="1"/>
  <c r="K60" i="46"/>
  <c r="S524" i="66" s="1"/>
  <c r="F60" i="46"/>
  <c r="O524" i="66" s="1"/>
  <c r="R60" i="46" l="1"/>
  <c r="G60" i="46"/>
  <c r="L60" i="46"/>
  <c r="P224" i="66"/>
  <c r="L60" i="66"/>
  <c r="P60" i="66"/>
  <c r="T60" i="66"/>
  <c r="P31" i="51"/>
  <c r="M28" i="66"/>
  <c r="M29" i="66" s="1"/>
  <c r="P28" i="66"/>
  <c r="T28" i="66"/>
  <c r="U28" i="66"/>
  <c r="U29" i="66" s="1"/>
  <c r="V29" i="66" s="1"/>
  <c r="L28" i="66" l="1"/>
  <c r="Q32" i="51"/>
  <c r="E31" i="59"/>
  <c r="F32" i="59" s="1"/>
  <c r="Q31" i="65"/>
  <c r="R31" i="65" s="1"/>
  <c r="K31" i="65"/>
  <c r="L31" i="65" s="1"/>
  <c r="F31" i="65"/>
  <c r="G31" i="65" s="1"/>
  <c r="Q31" i="64"/>
  <c r="R31" i="64" s="1"/>
  <c r="K31" i="64"/>
  <c r="L31" i="64" s="1"/>
  <c r="F31" i="64"/>
  <c r="G31" i="64" s="1"/>
  <c r="I31" i="64" s="1"/>
  <c r="K31" i="63"/>
  <c r="L31" i="63" s="1"/>
  <c r="F31" i="63"/>
  <c r="G31" i="63" s="1"/>
  <c r="Q31" i="62"/>
  <c r="R31" i="62" s="1"/>
  <c r="K31" i="62"/>
  <c r="L31" i="62" s="1"/>
  <c r="F31" i="62"/>
  <c r="G31" i="62" s="1"/>
  <c r="I31" i="62" s="1"/>
  <c r="Q31" i="61"/>
  <c r="K31" i="61"/>
  <c r="F31" i="61"/>
  <c r="Q31" i="60"/>
  <c r="R31" i="60" s="1"/>
  <c r="K31" i="60"/>
  <c r="L31" i="60" s="1"/>
  <c r="F31" i="60"/>
  <c r="G31" i="60" s="1"/>
  <c r="Q31" i="59"/>
  <c r="K31" i="59"/>
  <c r="F31" i="59"/>
  <c r="Q31" i="58"/>
  <c r="K31" i="58"/>
  <c r="F31" i="58"/>
  <c r="O259" i="66" s="1"/>
  <c r="Q31" i="56"/>
  <c r="K31" i="56"/>
  <c r="F31" i="56"/>
  <c r="Q31" i="55"/>
  <c r="R31" i="55" s="1"/>
  <c r="K31" i="55"/>
  <c r="F31" i="55"/>
  <c r="Q31" i="54"/>
  <c r="K31" i="54"/>
  <c r="F31" i="54"/>
  <c r="Q31" i="53"/>
  <c r="K31" i="53"/>
  <c r="F31" i="53"/>
  <c r="Q31" i="52"/>
  <c r="K31" i="52"/>
  <c r="S60" i="66" s="1"/>
  <c r="F31" i="52"/>
  <c r="Q31" i="51"/>
  <c r="K31" i="51"/>
  <c r="F31" i="51"/>
  <c r="Q50" i="49"/>
  <c r="K50" i="49"/>
  <c r="F50" i="49"/>
  <c r="Q54" i="48"/>
  <c r="R54" i="48" s="1"/>
  <c r="K54" i="48"/>
  <c r="L54" i="48" s="1"/>
  <c r="F54" i="48"/>
  <c r="G54" i="48" s="1"/>
  <c r="Q54" i="44"/>
  <c r="R54" i="44" s="1"/>
  <c r="K54" i="44"/>
  <c r="L54" i="44" s="1"/>
  <c r="Q54" i="45"/>
  <c r="R54" i="45" s="1"/>
  <c r="K54" i="45"/>
  <c r="L54" i="45" s="1"/>
  <c r="F54" i="45"/>
  <c r="G54" i="45" s="1"/>
  <c r="Q59" i="46"/>
  <c r="R59" i="46" s="1"/>
  <c r="K59" i="46"/>
  <c r="L59" i="46" s="1"/>
  <c r="F59" i="46"/>
  <c r="G59" i="46" s="1"/>
  <c r="G31" i="58" l="1"/>
  <c r="R31" i="51"/>
  <c r="K28" i="66"/>
  <c r="N28" i="66" s="1"/>
  <c r="L31" i="58"/>
  <c r="S259" i="66"/>
  <c r="G50" i="49"/>
  <c r="O657" i="66"/>
  <c r="G31" i="52"/>
  <c r="O60" i="66"/>
  <c r="R31" i="58"/>
  <c r="K259" i="66"/>
  <c r="L50" i="49"/>
  <c r="S657" i="66"/>
  <c r="R31" i="52"/>
  <c r="K60" i="66"/>
  <c r="G31" i="51"/>
  <c r="O28" i="66"/>
  <c r="K29" i="66"/>
  <c r="N29" i="66" s="1"/>
  <c r="R32" i="51"/>
  <c r="R50" i="49"/>
  <c r="K657" i="66"/>
  <c r="L31" i="51"/>
  <c r="S28" i="66"/>
  <c r="V28" i="66" s="1"/>
  <c r="O293" i="66"/>
  <c r="G32" i="59"/>
  <c r="R31" i="61"/>
  <c r="L31" i="61"/>
  <c r="G31" i="61"/>
  <c r="R31" i="59"/>
  <c r="L31" i="59"/>
  <c r="G31" i="59"/>
  <c r="R31" i="56"/>
  <c r="L31" i="56"/>
  <c r="G31" i="56"/>
  <c r="L31" i="55"/>
  <c r="G31" i="55"/>
  <c r="L31" i="54"/>
  <c r="R31" i="54"/>
  <c r="G31" i="54"/>
  <c r="L31" i="53"/>
  <c r="R31" i="53"/>
  <c r="G31" i="53"/>
  <c r="L31" i="52"/>
  <c r="K93" i="66" l="1"/>
  <c r="L93" i="66"/>
  <c r="O93" i="66"/>
  <c r="P93" i="66"/>
  <c r="S93" i="66"/>
  <c r="T93" i="66"/>
  <c r="L92" i="66"/>
  <c r="P92" i="66"/>
  <c r="T92" i="66"/>
  <c r="K125" i="66"/>
  <c r="L125" i="66"/>
  <c r="O125" i="66"/>
  <c r="P125" i="66"/>
  <c r="S125" i="66"/>
  <c r="T125" i="66"/>
  <c r="L124" i="66"/>
  <c r="P124" i="66"/>
  <c r="T124" i="66"/>
  <c r="K158" i="66"/>
  <c r="L158" i="66"/>
  <c r="O158" i="66"/>
  <c r="P158" i="66"/>
  <c r="S158" i="66"/>
  <c r="T158" i="66"/>
  <c r="K191" i="66"/>
  <c r="L191" i="66"/>
  <c r="O191" i="66"/>
  <c r="P191" i="66"/>
  <c r="S191" i="66"/>
  <c r="T191" i="66"/>
  <c r="K225" i="66"/>
  <c r="L225" i="66"/>
  <c r="M225" i="66"/>
  <c r="N225" i="66"/>
  <c r="O225" i="66"/>
  <c r="P225" i="66"/>
  <c r="S225" i="66"/>
  <c r="T225" i="66"/>
  <c r="U225" i="66"/>
  <c r="K292" i="66"/>
  <c r="L292" i="66"/>
  <c r="O292" i="66"/>
  <c r="P292" i="66"/>
  <c r="S292" i="66"/>
  <c r="T292" i="66"/>
  <c r="K325" i="66"/>
  <c r="L325" i="66"/>
  <c r="O325" i="66"/>
  <c r="P325" i="66"/>
  <c r="S325" i="66"/>
  <c r="T325" i="66"/>
  <c r="K358" i="66"/>
  <c r="L358" i="66"/>
  <c r="O358" i="66"/>
  <c r="P358" i="66"/>
  <c r="S358" i="66"/>
  <c r="T358" i="66"/>
  <c r="K392" i="66"/>
  <c r="L392" i="66"/>
  <c r="O392" i="66"/>
  <c r="P392" i="66"/>
  <c r="S392" i="66"/>
  <c r="T392" i="66"/>
  <c r="O425" i="66"/>
  <c r="P425" i="66"/>
  <c r="S425" i="66"/>
  <c r="T425" i="66"/>
  <c r="K458" i="66"/>
  <c r="L458" i="66"/>
  <c r="O458" i="66"/>
  <c r="P458" i="66"/>
  <c r="S458" i="66"/>
  <c r="T458" i="66"/>
  <c r="K491" i="66"/>
  <c r="L491" i="66"/>
  <c r="O491" i="66"/>
  <c r="P491" i="66"/>
  <c r="S491" i="66"/>
  <c r="T491" i="66"/>
  <c r="K523" i="66"/>
  <c r="L523" i="66"/>
  <c r="O523" i="66"/>
  <c r="P523" i="66"/>
  <c r="S523" i="66"/>
  <c r="T523" i="66"/>
  <c r="K557" i="66"/>
  <c r="L557" i="66"/>
  <c r="S557" i="66"/>
  <c r="T557" i="66"/>
  <c r="K590" i="66"/>
  <c r="L590" i="66"/>
  <c r="O590" i="66"/>
  <c r="P590" i="66"/>
  <c r="S590" i="66"/>
  <c r="T590" i="66"/>
  <c r="K624" i="66"/>
  <c r="L624" i="66"/>
  <c r="O624" i="66"/>
  <c r="P624" i="66"/>
  <c r="S624" i="66"/>
  <c r="T624" i="66"/>
  <c r="L656" i="66"/>
  <c r="P656" i="66"/>
  <c r="T656" i="66"/>
  <c r="L623" i="66"/>
  <c r="P623" i="66"/>
  <c r="T623" i="66"/>
  <c r="L556" i="66"/>
  <c r="T556" i="66"/>
  <c r="L522" i="66"/>
  <c r="P522" i="66"/>
  <c r="T522" i="66"/>
  <c r="L490" i="66"/>
  <c r="P490" i="66"/>
  <c r="T490" i="66"/>
  <c r="L457" i="66"/>
  <c r="P457" i="66"/>
  <c r="T457" i="66"/>
  <c r="P424" i="66"/>
  <c r="T424" i="66"/>
  <c r="L391" i="66"/>
  <c r="P391" i="66"/>
  <c r="T391" i="66"/>
  <c r="L357" i="66"/>
  <c r="P357" i="66"/>
  <c r="T357" i="66"/>
  <c r="L324" i="66"/>
  <c r="P324" i="66"/>
  <c r="T324" i="66"/>
  <c r="L291" i="66"/>
  <c r="P291" i="66"/>
  <c r="T291" i="66"/>
  <c r="K223" i="66"/>
  <c r="L223" i="66"/>
  <c r="M223" i="66"/>
  <c r="N223" i="66"/>
  <c r="O223" i="66"/>
  <c r="P223" i="66"/>
  <c r="S223" i="66"/>
  <c r="T223" i="66"/>
  <c r="L190" i="66"/>
  <c r="P190" i="66"/>
  <c r="T190" i="66"/>
  <c r="L59" i="66"/>
  <c r="P59" i="66"/>
  <c r="T59" i="66"/>
  <c r="L27" i="66"/>
  <c r="P27" i="66"/>
  <c r="T27" i="66"/>
  <c r="Q29" i="51"/>
  <c r="R29" i="51" s="1"/>
  <c r="Q29" i="52"/>
  <c r="R29" i="52" s="1"/>
  <c r="K29" i="52"/>
  <c r="L29" i="52" s="1"/>
  <c r="Q29" i="53"/>
  <c r="K92" i="66" s="1"/>
  <c r="F29" i="53"/>
  <c r="O92" i="66" s="1"/>
  <c r="K29" i="53"/>
  <c r="S92" i="66" s="1"/>
  <c r="Q29" i="54"/>
  <c r="R29" i="54" s="1"/>
  <c r="K29" i="54"/>
  <c r="S124" i="66" s="1"/>
  <c r="Q29" i="55"/>
  <c r="R29" i="55" s="1"/>
  <c r="K29" i="55"/>
  <c r="L29" i="55" s="1"/>
  <c r="F29" i="55"/>
  <c r="G29" i="55" s="1"/>
  <c r="Q29" i="56"/>
  <c r="K190" i="66" s="1"/>
  <c r="K29" i="56"/>
  <c r="L29" i="56" s="1"/>
  <c r="F29" i="56"/>
  <c r="G29" i="56" s="1"/>
  <c r="Q29" i="58"/>
  <c r="R29" i="58" s="1"/>
  <c r="K29" i="58"/>
  <c r="L29" i="58" s="1"/>
  <c r="F29" i="58"/>
  <c r="G29" i="58" s="1"/>
  <c r="Q29" i="59"/>
  <c r="R29" i="59" s="1"/>
  <c r="K29" i="59"/>
  <c r="S291" i="66" s="1"/>
  <c r="F29" i="59"/>
  <c r="O291" i="66" s="1"/>
  <c r="Q29" i="60"/>
  <c r="R29" i="60" s="1"/>
  <c r="K29" i="60"/>
  <c r="S324" i="66" s="1"/>
  <c r="F29" i="60"/>
  <c r="O324" i="66" s="1"/>
  <c r="Q29" i="61"/>
  <c r="R29" i="61" s="1"/>
  <c r="K29" i="61"/>
  <c r="L29" i="61" s="1"/>
  <c r="F29" i="61"/>
  <c r="G29" i="61" s="1"/>
  <c r="Q29" i="62"/>
  <c r="R29" i="62" s="1"/>
  <c r="K29" i="62"/>
  <c r="L29" i="62" s="1"/>
  <c r="F29" i="62"/>
  <c r="O391" i="66" s="1"/>
  <c r="P29" i="63"/>
  <c r="Q29" i="63"/>
  <c r="K424" i="66" s="1"/>
  <c r="K29" i="63"/>
  <c r="L29" i="63" s="1"/>
  <c r="F29" i="63"/>
  <c r="G29" i="63" s="1"/>
  <c r="Q29" i="64"/>
  <c r="K457" i="66" s="1"/>
  <c r="K29" i="64"/>
  <c r="S457" i="66" s="1"/>
  <c r="F29" i="64"/>
  <c r="G29" i="64" s="1"/>
  <c r="I29" i="64" s="1"/>
  <c r="F29" i="54"/>
  <c r="O124" i="66" s="1"/>
  <c r="F29" i="52"/>
  <c r="O59" i="66" s="1"/>
  <c r="K29" i="51"/>
  <c r="S27" i="66" s="1"/>
  <c r="F29" i="51"/>
  <c r="G29" i="51" s="1"/>
  <c r="Q29" i="65"/>
  <c r="R29" i="65" s="1"/>
  <c r="K29" i="65"/>
  <c r="S490" i="66" s="1"/>
  <c r="F29" i="65"/>
  <c r="G29" i="65" s="1"/>
  <c r="R29" i="64" l="1"/>
  <c r="L29" i="60"/>
  <c r="L29" i="65"/>
  <c r="L29" i="64"/>
  <c r="Q31" i="63"/>
  <c r="P31" i="63"/>
  <c r="P80" i="63"/>
  <c r="P81" i="63" s="1"/>
  <c r="G29" i="62"/>
  <c r="I29" i="62" s="1"/>
  <c r="L29" i="54"/>
  <c r="L29" i="53"/>
  <c r="G29" i="53"/>
  <c r="K425" i="66"/>
  <c r="S59" i="66"/>
  <c r="G29" i="52"/>
  <c r="R29" i="56"/>
  <c r="O457" i="66"/>
  <c r="K490" i="66"/>
  <c r="K357" i="66"/>
  <c r="S424" i="66"/>
  <c r="G29" i="54"/>
  <c r="G29" i="60"/>
  <c r="L29" i="59"/>
  <c r="R29" i="53"/>
  <c r="K59" i="66"/>
  <c r="S357" i="66"/>
  <c r="K124" i="66"/>
  <c r="O27" i="66"/>
  <c r="K291" i="66"/>
  <c r="R29" i="63"/>
  <c r="L29" i="51"/>
  <c r="G29" i="59"/>
  <c r="K27" i="66"/>
  <c r="S190" i="66"/>
  <c r="K324" i="66"/>
  <c r="O357" i="66"/>
  <c r="S391" i="66"/>
  <c r="K391" i="66"/>
  <c r="O424" i="66"/>
  <c r="O490" i="66"/>
  <c r="O190" i="66"/>
  <c r="L424" i="66"/>
  <c r="V225" i="66"/>
  <c r="P32" i="63" l="1"/>
  <c r="Q32" i="63"/>
  <c r="K426" i="66" s="1"/>
  <c r="L425" i="66"/>
  <c r="R31" i="63"/>
  <c r="Q48" i="49"/>
  <c r="K656" i="66" s="1"/>
  <c r="R48" i="49"/>
  <c r="K48" i="49"/>
  <c r="S656" i="66" s="1"/>
  <c r="F48" i="49"/>
  <c r="O656" i="66" s="1"/>
  <c r="Q52" i="48"/>
  <c r="K623" i="66" s="1"/>
  <c r="K52" i="48"/>
  <c r="S623" i="66" s="1"/>
  <c r="F52" i="48"/>
  <c r="Q52" i="44"/>
  <c r="K556" i="66" s="1"/>
  <c r="K52" i="44"/>
  <c r="S556" i="66" s="1"/>
  <c r="F52" i="44"/>
  <c r="O556" i="66" s="1"/>
  <c r="E52" i="44"/>
  <c r="Q52" i="45"/>
  <c r="R52" i="45" s="1"/>
  <c r="K52" i="45"/>
  <c r="L52" i="45" s="1"/>
  <c r="F52" i="45"/>
  <c r="G52" i="45" s="1"/>
  <c r="R52" i="44" l="1"/>
  <c r="L52" i="48"/>
  <c r="Q33" i="63"/>
  <c r="K427" i="66" s="1"/>
  <c r="P33" i="63"/>
  <c r="L427" i="66" s="1"/>
  <c r="L426" i="66"/>
  <c r="R32" i="63"/>
  <c r="E54" i="44"/>
  <c r="L48" i="49"/>
  <c r="L52" i="44"/>
  <c r="R52" i="48"/>
  <c r="F54" i="44"/>
  <c r="P556" i="66"/>
  <c r="G52" i="44"/>
  <c r="G52" i="48"/>
  <c r="O623" i="66"/>
  <c r="G48" i="49"/>
  <c r="Q58" i="46"/>
  <c r="K522" i="66" s="1"/>
  <c r="K58" i="46"/>
  <c r="S522" i="66" s="1"/>
  <c r="F58" i="46"/>
  <c r="O522" i="66" s="1"/>
  <c r="G58" i="46" l="1"/>
  <c r="L58" i="46"/>
  <c r="P566" i="66"/>
  <c r="P34" i="63"/>
  <c r="L428" i="66" s="1"/>
  <c r="Q34" i="63"/>
  <c r="K428" i="66" s="1"/>
  <c r="R33" i="63"/>
  <c r="E55" i="44"/>
  <c r="F55" i="44"/>
  <c r="O558" i="66" s="1"/>
  <c r="P557" i="66"/>
  <c r="R58" i="46"/>
  <c r="G54" i="44"/>
  <c r="O557" i="66"/>
  <c r="L555" i="66"/>
  <c r="P555" i="66"/>
  <c r="T555" i="66"/>
  <c r="L521" i="66"/>
  <c r="P521" i="66"/>
  <c r="T521" i="66"/>
  <c r="L456" i="66"/>
  <c r="P456" i="66"/>
  <c r="T456" i="66"/>
  <c r="L390" i="66"/>
  <c r="P390" i="66"/>
  <c r="T390" i="66"/>
  <c r="T323" i="66"/>
  <c r="P323" i="66"/>
  <c r="L323" i="66"/>
  <c r="P222" i="66"/>
  <c r="T26" i="66"/>
  <c r="P26" i="66"/>
  <c r="L26" i="66"/>
  <c r="T655" i="66"/>
  <c r="P655" i="66"/>
  <c r="L655" i="66"/>
  <c r="S222" i="66"/>
  <c r="T222" i="66"/>
  <c r="N222" i="66"/>
  <c r="O222" i="66"/>
  <c r="K222" i="66"/>
  <c r="L222" i="66"/>
  <c r="T423" i="66"/>
  <c r="P423" i="66"/>
  <c r="L423" i="66"/>
  <c r="T356" i="66"/>
  <c r="P356" i="66"/>
  <c r="L356" i="66"/>
  <c r="T189" i="66"/>
  <c r="P189" i="66"/>
  <c r="L189" i="66"/>
  <c r="T123" i="66"/>
  <c r="P123" i="66"/>
  <c r="L123" i="66"/>
  <c r="T58" i="66"/>
  <c r="P58" i="66"/>
  <c r="L58" i="66"/>
  <c r="R34" i="63" l="1"/>
  <c r="Q35" i="63"/>
  <c r="E56" i="44"/>
  <c r="F56" i="44"/>
  <c r="P558" i="66"/>
  <c r="G55" i="44"/>
  <c r="Q28" i="52"/>
  <c r="K58" i="66" s="1"/>
  <c r="K28" i="52"/>
  <c r="S58" i="66" s="1"/>
  <c r="F28" i="52"/>
  <c r="O58" i="66" s="1"/>
  <c r="Q28" i="53"/>
  <c r="R28" i="53" s="1"/>
  <c r="K28" i="53"/>
  <c r="L28" i="53" s="1"/>
  <c r="F28" i="53"/>
  <c r="G28" i="53" s="1"/>
  <c r="Q28" i="54"/>
  <c r="K123" i="66" s="1"/>
  <c r="K28" i="54"/>
  <c r="S123" i="66" s="1"/>
  <c r="F28" i="54"/>
  <c r="O123" i="66" s="1"/>
  <c r="Q28" i="55"/>
  <c r="R28" i="55" s="1"/>
  <c r="K28" i="55"/>
  <c r="L28" i="55" s="1"/>
  <c r="F28" i="55"/>
  <c r="G28" i="55" s="1"/>
  <c r="Q28" i="56"/>
  <c r="K189" i="66" s="1"/>
  <c r="K28" i="56"/>
  <c r="S189" i="66" s="1"/>
  <c r="F28" i="56"/>
  <c r="Q28" i="58"/>
  <c r="R28" i="58" s="1"/>
  <c r="K28" i="58"/>
  <c r="L28" i="58" s="1"/>
  <c r="F28" i="58"/>
  <c r="G28" i="58" s="1"/>
  <c r="Q28" i="59"/>
  <c r="R28" i="59" s="1"/>
  <c r="K28" i="59"/>
  <c r="L28" i="59" s="1"/>
  <c r="F28" i="59"/>
  <c r="G28" i="59" s="1"/>
  <c r="Q28" i="60"/>
  <c r="K323" i="66" s="1"/>
  <c r="K28" i="60"/>
  <c r="S323" i="66" s="1"/>
  <c r="F28" i="60"/>
  <c r="O323" i="66" s="1"/>
  <c r="Q28" i="61"/>
  <c r="K356" i="66" s="1"/>
  <c r="R28" i="61"/>
  <c r="K28" i="61"/>
  <c r="S356" i="66" s="1"/>
  <c r="F28" i="61"/>
  <c r="O356" i="66" s="1"/>
  <c r="Q28" i="62"/>
  <c r="K390" i="66" s="1"/>
  <c r="K28" i="62"/>
  <c r="S390" i="66" s="1"/>
  <c r="F28" i="62"/>
  <c r="O390" i="66" s="1"/>
  <c r="Q28" i="63"/>
  <c r="K28" i="63"/>
  <c r="S423" i="66" s="1"/>
  <c r="F28" i="63"/>
  <c r="O423" i="66" s="1"/>
  <c r="Q28" i="64"/>
  <c r="K456" i="66" s="1"/>
  <c r="K28" i="64"/>
  <c r="S456" i="66" s="1"/>
  <c r="F28" i="64"/>
  <c r="O456" i="66" s="1"/>
  <c r="Q28" i="65"/>
  <c r="R28" i="65" s="1"/>
  <c r="K28" i="65"/>
  <c r="L28" i="65" s="1"/>
  <c r="F28" i="65"/>
  <c r="G28" i="65" s="1"/>
  <c r="Q28" i="51"/>
  <c r="K26" i="66" s="1"/>
  <c r="K28" i="51"/>
  <c r="S26" i="66" s="1"/>
  <c r="F28" i="51"/>
  <c r="O26" i="66" s="1"/>
  <c r="Q47" i="49"/>
  <c r="K655" i="66" s="1"/>
  <c r="K47" i="49"/>
  <c r="S655" i="66" s="1"/>
  <c r="F47" i="49"/>
  <c r="O655" i="66" s="1"/>
  <c r="Q51" i="48"/>
  <c r="R51" i="48" s="1"/>
  <c r="K51" i="48"/>
  <c r="L51" i="48" s="1"/>
  <c r="F51" i="48"/>
  <c r="G51" i="48" s="1"/>
  <c r="Q57" i="46"/>
  <c r="K521" i="66" s="1"/>
  <c r="K57" i="46"/>
  <c r="S521" i="66" s="1"/>
  <c r="F57" i="46"/>
  <c r="Q51" i="45"/>
  <c r="R51" i="45" s="1"/>
  <c r="K51" i="45"/>
  <c r="L51" i="45" s="1"/>
  <c r="F51" i="45"/>
  <c r="G51" i="45" s="1"/>
  <c r="Q51" i="44"/>
  <c r="K555" i="66" s="1"/>
  <c r="K51" i="44"/>
  <c r="S555" i="66" s="1"/>
  <c r="F51" i="44"/>
  <c r="O555" i="66" s="1"/>
  <c r="G28" i="61" l="1"/>
  <c r="L28" i="60"/>
  <c r="L57" i="46"/>
  <c r="R35" i="63"/>
  <c r="K429" i="66"/>
  <c r="R28" i="51"/>
  <c r="L28" i="64"/>
  <c r="G28" i="63"/>
  <c r="G28" i="51"/>
  <c r="L28" i="54"/>
  <c r="L47" i="49"/>
  <c r="G56" i="44"/>
  <c r="O559" i="66"/>
  <c r="L51" i="44"/>
  <c r="L28" i="56"/>
  <c r="L28" i="52"/>
  <c r="F57" i="44"/>
  <c r="P559" i="66"/>
  <c r="G28" i="56"/>
  <c r="O189" i="66"/>
  <c r="R51" i="44"/>
  <c r="R47" i="49"/>
  <c r="R28" i="64"/>
  <c r="R28" i="62"/>
  <c r="G28" i="60"/>
  <c r="R28" i="56"/>
  <c r="G28" i="54"/>
  <c r="R28" i="52"/>
  <c r="G57" i="46"/>
  <c r="O521" i="66"/>
  <c r="R28" i="63"/>
  <c r="K423" i="66"/>
  <c r="G51" i="44"/>
  <c r="R57" i="46"/>
  <c r="G47" i="49"/>
  <c r="L28" i="51"/>
  <c r="G28" i="64"/>
  <c r="I28" i="64" s="1"/>
  <c r="L28" i="63"/>
  <c r="L28" i="61"/>
  <c r="R28" i="60"/>
  <c r="R28" i="54"/>
  <c r="G28" i="52"/>
  <c r="G28" i="62"/>
  <c r="I28" i="62" s="1"/>
  <c r="L28" i="62"/>
  <c r="L355" i="66"/>
  <c r="P355" i="66"/>
  <c r="T355" i="66"/>
  <c r="L322" i="66"/>
  <c r="P322" i="66"/>
  <c r="T322" i="66"/>
  <c r="K220" i="66"/>
  <c r="L220" i="66"/>
  <c r="M220" i="66"/>
  <c r="N220" i="66"/>
  <c r="O220" i="66"/>
  <c r="P220" i="66"/>
  <c r="S220" i="66"/>
  <c r="T220" i="66"/>
  <c r="K221" i="66"/>
  <c r="L221" i="66"/>
  <c r="M221" i="66"/>
  <c r="N221" i="66"/>
  <c r="O221" i="66"/>
  <c r="P221" i="66"/>
  <c r="S221" i="66"/>
  <c r="T221" i="66"/>
  <c r="L188" i="66"/>
  <c r="P188" i="66"/>
  <c r="T188" i="66"/>
  <c r="K91" i="66"/>
  <c r="L91" i="66"/>
  <c r="O91" i="66"/>
  <c r="P91" i="66"/>
  <c r="S91" i="66"/>
  <c r="T91" i="66"/>
  <c r="L90" i="66"/>
  <c r="P90" i="66"/>
  <c r="T90" i="66"/>
  <c r="G57" i="44" l="1"/>
  <c r="O560" i="66"/>
  <c r="Q27" i="65"/>
  <c r="R27" i="65" s="1"/>
  <c r="K27" i="65"/>
  <c r="L27" i="65" s="1"/>
  <c r="F27" i="65"/>
  <c r="G27" i="65"/>
  <c r="Q27" i="64"/>
  <c r="R27" i="64" s="1"/>
  <c r="K27" i="64"/>
  <c r="L27" i="64" s="1"/>
  <c r="F27" i="64"/>
  <c r="G27" i="64" s="1"/>
  <c r="I27" i="64" s="1"/>
  <c r="Q27" i="63"/>
  <c r="R27" i="63" s="1"/>
  <c r="K27" i="63"/>
  <c r="L27" i="63" s="1"/>
  <c r="F27" i="63"/>
  <c r="G27" i="63" s="1"/>
  <c r="Q27" i="62"/>
  <c r="R27" i="62" s="1"/>
  <c r="K27" i="62"/>
  <c r="L27" i="62" s="1"/>
  <c r="F27" i="62"/>
  <c r="G27" i="62" s="1"/>
  <c r="I27" i="62" s="1"/>
  <c r="Q27" i="61"/>
  <c r="K27" i="61"/>
  <c r="S355" i="66" s="1"/>
  <c r="F27" i="61"/>
  <c r="O355" i="66" s="1"/>
  <c r="Q27" i="60"/>
  <c r="K27" i="60"/>
  <c r="F27" i="60"/>
  <c r="O322" i="66" s="1"/>
  <c r="Q27" i="59"/>
  <c r="R27" i="59" s="1"/>
  <c r="K27" i="59"/>
  <c r="L27" i="59" s="1"/>
  <c r="F27" i="59"/>
  <c r="G27" i="59" s="1"/>
  <c r="Q27" i="58"/>
  <c r="R27" i="58" s="1"/>
  <c r="K27" i="58"/>
  <c r="L27" i="58" s="1"/>
  <c r="F27" i="58"/>
  <c r="G27" i="58" s="1"/>
  <c r="Q27" i="56"/>
  <c r="K188" i="66" s="1"/>
  <c r="K27" i="56"/>
  <c r="S188" i="66" s="1"/>
  <c r="F27" i="56"/>
  <c r="O188" i="66" s="1"/>
  <c r="Q27" i="55"/>
  <c r="R27" i="55"/>
  <c r="K27" i="55"/>
  <c r="L27" i="55" s="1"/>
  <c r="F27" i="55"/>
  <c r="G27" i="55" s="1"/>
  <c r="Q27" i="54"/>
  <c r="R27" i="54" s="1"/>
  <c r="K27" i="54"/>
  <c r="L27" i="54" s="1"/>
  <c r="F27" i="54"/>
  <c r="G27" i="54" s="1"/>
  <c r="Q27" i="53"/>
  <c r="K90" i="66" s="1"/>
  <c r="K27" i="53"/>
  <c r="S90" i="66" s="1"/>
  <c r="F27" i="53"/>
  <c r="O90" i="66" s="1"/>
  <c r="Q27" i="52"/>
  <c r="R27" i="52" s="1"/>
  <c r="K27" i="52"/>
  <c r="L27" i="52" s="1"/>
  <c r="F27" i="52"/>
  <c r="G27" i="52" s="1"/>
  <c r="Q27" i="51"/>
  <c r="R27" i="51" s="1"/>
  <c r="K27" i="51"/>
  <c r="L27" i="51" s="1"/>
  <c r="F27" i="51"/>
  <c r="G27" i="51" s="1"/>
  <c r="Q46" i="49"/>
  <c r="R46" i="49" s="1"/>
  <c r="K46" i="49"/>
  <c r="L46" i="49" s="1"/>
  <c r="F46" i="49"/>
  <c r="G46" i="49" s="1"/>
  <c r="Q50" i="48"/>
  <c r="R50" i="48" s="1"/>
  <c r="K50" i="48"/>
  <c r="L50" i="48" s="1"/>
  <c r="F50" i="48"/>
  <c r="G50" i="48" s="1"/>
  <c r="Q50" i="44"/>
  <c r="R50" i="44" s="1"/>
  <c r="K50" i="44"/>
  <c r="L50" i="44" s="1"/>
  <c r="F50" i="44"/>
  <c r="G50" i="44"/>
  <c r="Q50" i="45"/>
  <c r="R50" i="45" s="1"/>
  <c r="K50" i="45"/>
  <c r="L50" i="45" s="1"/>
  <c r="F50" i="45"/>
  <c r="G50" i="45" s="1"/>
  <c r="Q56" i="46"/>
  <c r="R56" i="46" s="1"/>
  <c r="K56" i="46"/>
  <c r="L56" i="46" s="1"/>
  <c r="F56" i="46"/>
  <c r="G56" i="46" s="1"/>
  <c r="G27" i="60" l="1"/>
  <c r="R27" i="56"/>
  <c r="G27" i="53"/>
  <c r="R27" i="53"/>
  <c r="L27" i="56"/>
  <c r="L27" i="61"/>
  <c r="L27" i="53"/>
  <c r="G27" i="56"/>
  <c r="L27" i="60"/>
  <c r="S322" i="66"/>
  <c r="G27" i="61"/>
  <c r="R27" i="60"/>
  <c r="K322" i="66"/>
  <c r="R27" i="61"/>
  <c r="K355" i="66"/>
  <c r="K654" i="66"/>
  <c r="L654" i="66"/>
  <c r="O654" i="66"/>
  <c r="P654" i="66"/>
  <c r="S654" i="66"/>
  <c r="T654" i="66"/>
  <c r="K621" i="66"/>
  <c r="L621" i="66"/>
  <c r="O621" i="66"/>
  <c r="P621" i="66"/>
  <c r="S621" i="66"/>
  <c r="T621" i="66"/>
  <c r="K587" i="66"/>
  <c r="L587" i="66"/>
  <c r="O587" i="66"/>
  <c r="P587" i="66"/>
  <c r="S587" i="66"/>
  <c r="T587" i="66"/>
  <c r="K554" i="66"/>
  <c r="L554" i="66"/>
  <c r="O554" i="66"/>
  <c r="P554" i="66"/>
  <c r="S554" i="66"/>
  <c r="T554" i="66"/>
  <c r="K520" i="66"/>
  <c r="L520" i="66"/>
  <c r="O520" i="66"/>
  <c r="P520" i="66"/>
  <c r="S520" i="66"/>
  <c r="T520" i="66"/>
  <c r="K488" i="66"/>
  <c r="L488" i="66"/>
  <c r="O488" i="66"/>
  <c r="P488" i="66"/>
  <c r="S488" i="66"/>
  <c r="T488" i="66"/>
  <c r="K455" i="66"/>
  <c r="L455" i="66"/>
  <c r="O455" i="66"/>
  <c r="P455" i="66"/>
  <c r="S455" i="66"/>
  <c r="T455" i="66"/>
  <c r="K422" i="66"/>
  <c r="L422" i="66"/>
  <c r="O422" i="66"/>
  <c r="P422" i="66"/>
  <c r="S422" i="66"/>
  <c r="T422" i="66"/>
  <c r="K389" i="66"/>
  <c r="L389" i="66"/>
  <c r="O389" i="66"/>
  <c r="P389" i="66"/>
  <c r="S389" i="66"/>
  <c r="T389" i="66"/>
  <c r="U389" i="66"/>
  <c r="U390" i="66" s="1"/>
  <c r="L354" i="66"/>
  <c r="P354" i="66"/>
  <c r="T354" i="66"/>
  <c r="L321" i="66"/>
  <c r="P321" i="66"/>
  <c r="T321" i="66"/>
  <c r="K289" i="66"/>
  <c r="L289" i="66"/>
  <c r="O289" i="66"/>
  <c r="P289" i="66"/>
  <c r="S289" i="66"/>
  <c r="T289" i="66"/>
  <c r="K290" i="66"/>
  <c r="L290" i="66"/>
  <c r="O290" i="66"/>
  <c r="P290" i="66"/>
  <c r="S290" i="66"/>
  <c r="T290" i="66"/>
  <c r="K218" i="66"/>
  <c r="L218" i="66"/>
  <c r="M218" i="66"/>
  <c r="N218" i="66"/>
  <c r="O218" i="66"/>
  <c r="P218" i="66"/>
  <c r="S218" i="66"/>
  <c r="T218" i="66"/>
  <c r="K219" i="66"/>
  <c r="L219" i="66"/>
  <c r="M219" i="66"/>
  <c r="N219" i="66"/>
  <c r="O219" i="66"/>
  <c r="P219" i="66"/>
  <c r="S219" i="66"/>
  <c r="T219" i="66"/>
  <c r="L89" i="66"/>
  <c r="P89" i="66"/>
  <c r="T89" i="66"/>
  <c r="L187" i="66"/>
  <c r="P187" i="66"/>
  <c r="T187" i="66"/>
  <c r="V390" i="66" l="1"/>
  <c r="U391" i="66"/>
  <c r="V389" i="66"/>
  <c r="Q26" i="65"/>
  <c r="K26" i="65"/>
  <c r="L26" i="65" s="1"/>
  <c r="F26" i="65"/>
  <c r="G26" i="65" s="1"/>
  <c r="Q26" i="64"/>
  <c r="R26" i="64" s="1"/>
  <c r="K26" i="64"/>
  <c r="L26" i="64" s="1"/>
  <c r="F26" i="64"/>
  <c r="G26" i="64" s="1"/>
  <c r="I26" i="64" s="1"/>
  <c r="Q26" i="63"/>
  <c r="R26" i="63" s="1"/>
  <c r="K26" i="63"/>
  <c r="L26" i="63" s="1"/>
  <c r="F26" i="63"/>
  <c r="G26" i="63" s="1"/>
  <c r="Q26" i="62"/>
  <c r="R26" i="62" s="1"/>
  <c r="K26" i="62"/>
  <c r="L26" i="62" s="1"/>
  <c r="F26" i="62"/>
  <c r="G26" i="62" s="1"/>
  <c r="I26" i="62" s="1"/>
  <c r="Q26" i="61"/>
  <c r="K26" i="61"/>
  <c r="F26" i="61"/>
  <c r="Q26" i="60"/>
  <c r="K26" i="60"/>
  <c r="F26" i="60"/>
  <c r="Q26" i="59"/>
  <c r="R26" i="59" s="1"/>
  <c r="K26" i="59"/>
  <c r="L26" i="59" s="1"/>
  <c r="F26" i="59"/>
  <c r="G26" i="59" s="1"/>
  <c r="Q26" i="58"/>
  <c r="R26" i="58" s="1"/>
  <c r="K26" i="58"/>
  <c r="L26" i="58" s="1"/>
  <c r="F26" i="58"/>
  <c r="G26" i="58" s="1"/>
  <c r="Q26" i="56"/>
  <c r="K26" i="56"/>
  <c r="F26" i="56"/>
  <c r="Q26" i="55"/>
  <c r="R26" i="55" s="1"/>
  <c r="K26" i="55"/>
  <c r="L26" i="55" s="1"/>
  <c r="F26" i="55"/>
  <c r="G26" i="55" s="1"/>
  <c r="Q26" i="54"/>
  <c r="R26" i="54" s="1"/>
  <c r="K26" i="54"/>
  <c r="L26" i="54" s="1"/>
  <c r="F26" i="54"/>
  <c r="G26" i="54" s="1"/>
  <c r="Q26" i="53"/>
  <c r="K26" i="53"/>
  <c r="F26" i="53"/>
  <c r="Q26" i="52"/>
  <c r="R26" i="52" s="1"/>
  <c r="K26" i="52"/>
  <c r="L26" i="52" s="1"/>
  <c r="F26" i="52"/>
  <c r="G26" i="52" s="1"/>
  <c r="Q26" i="51"/>
  <c r="R26" i="51" s="1"/>
  <c r="K26" i="51"/>
  <c r="L26" i="51" s="1"/>
  <c r="F26" i="51"/>
  <c r="G26" i="51" s="1"/>
  <c r="Q45" i="49"/>
  <c r="R45" i="49" s="1"/>
  <c r="K45" i="49"/>
  <c r="L45" i="49" s="1"/>
  <c r="F45" i="49"/>
  <c r="G45" i="49" s="1"/>
  <c r="Q49" i="48"/>
  <c r="R49" i="48" s="1"/>
  <c r="K49" i="48"/>
  <c r="L49" i="48" s="1"/>
  <c r="F49" i="48"/>
  <c r="G49" i="48" s="1"/>
  <c r="Q49" i="44"/>
  <c r="R49" i="44" s="1"/>
  <c r="K49" i="44"/>
  <c r="L49" i="44" s="1"/>
  <c r="F49" i="44"/>
  <c r="G49" i="44" s="1"/>
  <c r="Q49" i="45"/>
  <c r="R49" i="45" s="1"/>
  <c r="K49" i="45"/>
  <c r="L49" i="45" s="1"/>
  <c r="F49" i="45"/>
  <c r="G49" i="45" s="1"/>
  <c r="Q55" i="46"/>
  <c r="R55" i="46" s="1"/>
  <c r="K55" i="46"/>
  <c r="L55" i="46" s="1"/>
  <c r="F55" i="46"/>
  <c r="G55" i="46" s="1"/>
  <c r="G26" i="53" l="1"/>
  <c r="O89" i="66"/>
  <c r="R26" i="60"/>
  <c r="K321" i="66"/>
  <c r="L26" i="53"/>
  <c r="S89" i="66"/>
  <c r="G26" i="56"/>
  <c r="O187" i="66"/>
  <c r="G26" i="61"/>
  <c r="O354" i="66"/>
  <c r="R26" i="53"/>
  <c r="K89" i="66"/>
  <c r="L26" i="56"/>
  <c r="S187" i="66"/>
  <c r="G26" i="60"/>
  <c r="O321" i="66"/>
  <c r="L26" i="61"/>
  <c r="S354" i="66"/>
  <c r="R26" i="56"/>
  <c r="K187" i="66"/>
  <c r="L26" i="60"/>
  <c r="S321" i="66"/>
  <c r="R26" i="61"/>
  <c r="K354" i="66"/>
  <c r="V391" i="66"/>
  <c r="U392" i="66"/>
  <c r="R26" i="65"/>
  <c r="L253" i="66"/>
  <c r="P253" i="66"/>
  <c r="T253" i="66"/>
  <c r="L254" i="66"/>
  <c r="P254" i="66"/>
  <c r="T254" i="66"/>
  <c r="K255" i="66"/>
  <c r="L255" i="66"/>
  <c r="O255" i="66"/>
  <c r="P255" i="66"/>
  <c r="S255" i="66"/>
  <c r="T255" i="66"/>
  <c r="K256" i="66"/>
  <c r="L256" i="66"/>
  <c r="O256" i="66"/>
  <c r="P256" i="66"/>
  <c r="S256" i="66"/>
  <c r="T256" i="66"/>
  <c r="K257" i="66"/>
  <c r="L257" i="66"/>
  <c r="O257" i="66"/>
  <c r="P257" i="66"/>
  <c r="S257" i="66"/>
  <c r="T257" i="66"/>
  <c r="K258" i="66"/>
  <c r="L258" i="66"/>
  <c r="O258" i="66"/>
  <c r="P258" i="66"/>
  <c r="S258" i="66"/>
  <c r="T258" i="66"/>
  <c r="L153" i="66"/>
  <c r="P153" i="66"/>
  <c r="T153" i="66"/>
  <c r="K154" i="66"/>
  <c r="L154" i="66"/>
  <c r="O154" i="66"/>
  <c r="P154" i="66"/>
  <c r="S154" i="66"/>
  <c r="T154" i="66"/>
  <c r="K155" i="66"/>
  <c r="L155" i="66"/>
  <c r="O155" i="66"/>
  <c r="P155" i="66"/>
  <c r="S155" i="66"/>
  <c r="T155" i="66"/>
  <c r="K156" i="66"/>
  <c r="L156" i="66"/>
  <c r="O156" i="66"/>
  <c r="P156" i="66"/>
  <c r="S156" i="66"/>
  <c r="T156" i="66"/>
  <c r="K157" i="66"/>
  <c r="L157" i="66"/>
  <c r="O157" i="66"/>
  <c r="P157" i="66"/>
  <c r="S157" i="66"/>
  <c r="T157" i="66"/>
  <c r="Q25" i="65"/>
  <c r="R25" i="65" s="1"/>
  <c r="K25" i="65"/>
  <c r="L25" i="65" s="1"/>
  <c r="F25" i="65"/>
  <c r="G25" i="65" s="1"/>
  <c r="Q25" i="64"/>
  <c r="K25" i="64"/>
  <c r="L25" i="64" s="1"/>
  <c r="F25" i="64"/>
  <c r="G25" i="64" s="1"/>
  <c r="I25" i="64" s="1"/>
  <c r="Q25" i="63"/>
  <c r="R25" i="63" s="1"/>
  <c r="K25" i="63"/>
  <c r="L25" i="63" s="1"/>
  <c r="F25" i="63"/>
  <c r="G25" i="63" s="1"/>
  <c r="Q25" i="62"/>
  <c r="R25" i="62" s="1"/>
  <c r="K25" i="62"/>
  <c r="L25" i="62" s="1"/>
  <c r="F25" i="62"/>
  <c r="G25" i="62" s="1"/>
  <c r="I25" i="62" s="1"/>
  <c r="Q25" i="61"/>
  <c r="R25" i="61" s="1"/>
  <c r="K25" i="61"/>
  <c r="L25" i="61" s="1"/>
  <c r="F25" i="61"/>
  <c r="G25" i="61" s="1"/>
  <c r="Q25" i="60"/>
  <c r="R25" i="60" s="1"/>
  <c r="K25" i="60"/>
  <c r="L25" i="60" s="1"/>
  <c r="F25" i="60"/>
  <c r="G25" i="60" s="1"/>
  <c r="Q25" i="59"/>
  <c r="R25" i="59" s="1"/>
  <c r="K25" i="59"/>
  <c r="L25" i="59" s="1"/>
  <c r="F25" i="59"/>
  <c r="G25" i="59" s="1"/>
  <c r="Q25" i="58"/>
  <c r="R25" i="58" s="1"/>
  <c r="K25" i="58"/>
  <c r="L25" i="58" s="1"/>
  <c r="F25" i="58"/>
  <c r="G25" i="58" s="1"/>
  <c r="Q25" i="56"/>
  <c r="R25" i="56" s="1"/>
  <c r="K25" i="56"/>
  <c r="L25" i="56" s="1"/>
  <c r="F25" i="56"/>
  <c r="G25" i="56" s="1"/>
  <c r="K25" i="55"/>
  <c r="L25" i="55" s="1"/>
  <c r="F25" i="55"/>
  <c r="G25" i="55" s="1"/>
  <c r="Q25" i="54"/>
  <c r="R25" i="54" s="1"/>
  <c r="K25" i="54"/>
  <c r="L25" i="54" s="1"/>
  <c r="F25" i="54"/>
  <c r="G25" i="54" s="1"/>
  <c r="Q25" i="53"/>
  <c r="K25" i="53"/>
  <c r="L25" i="53" s="1"/>
  <c r="F25" i="53"/>
  <c r="G25" i="53" s="1"/>
  <c r="Q25" i="52"/>
  <c r="R25" i="52" s="1"/>
  <c r="K25" i="52"/>
  <c r="L25" i="52" s="1"/>
  <c r="F25" i="52"/>
  <c r="G25" i="52" s="1"/>
  <c r="Q25" i="51"/>
  <c r="R25" i="51" s="1"/>
  <c r="K25" i="51"/>
  <c r="L25" i="51" s="1"/>
  <c r="F25" i="51"/>
  <c r="G25" i="51" s="1"/>
  <c r="Q44" i="49"/>
  <c r="R44" i="49" s="1"/>
  <c r="K44" i="49"/>
  <c r="L44" i="49" s="1"/>
  <c r="F44" i="49"/>
  <c r="G44" i="49" s="1"/>
  <c r="Q48" i="44"/>
  <c r="Q47" i="44"/>
  <c r="R47" i="44" s="1"/>
  <c r="F48" i="44"/>
  <c r="G48" i="44" s="1"/>
  <c r="Q48" i="48"/>
  <c r="R48" i="48" s="1"/>
  <c r="K48" i="48"/>
  <c r="L48" i="48" s="1"/>
  <c r="F48" i="48"/>
  <c r="G48" i="48" s="1"/>
  <c r="V392" i="66" l="1"/>
  <c r="U393" i="66"/>
  <c r="O153" i="66"/>
  <c r="S254" i="66"/>
  <c r="K254" i="66"/>
  <c r="S153" i="66"/>
  <c r="O254" i="66"/>
  <c r="R25" i="64"/>
  <c r="R25" i="53"/>
  <c r="R48" i="44"/>
  <c r="Q48" i="45"/>
  <c r="R48" i="45" s="1"/>
  <c r="K48" i="45"/>
  <c r="L48" i="45" s="1"/>
  <c r="F48" i="45"/>
  <c r="G48" i="45" s="1"/>
  <c r="Q54" i="46"/>
  <c r="K54" i="46"/>
  <c r="L54" i="46" s="1"/>
  <c r="F54" i="46"/>
  <c r="G54" i="46" s="1"/>
  <c r="V393" i="66" l="1"/>
  <c r="U394" i="66"/>
  <c r="R54" i="46"/>
  <c r="L650" i="66"/>
  <c r="P650" i="66"/>
  <c r="T650" i="66"/>
  <c r="L651" i="66"/>
  <c r="P651" i="66"/>
  <c r="T651" i="66"/>
  <c r="K652" i="66"/>
  <c r="L652" i="66"/>
  <c r="O652" i="66"/>
  <c r="P652" i="66"/>
  <c r="S652" i="66"/>
  <c r="T652" i="66"/>
  <c r="K653" i="66"/>
  <c r="L653" i="66"/>
  <c r="O653" i="66"/>
  <c r="P653" i="66"/>
  <c r="S653" i="66"/>
  <c r="T653" i="66"/>
  <c r="L615" i="66"/>
  <c r="P615" i="66"/>
  <c r="T615" i="66"/>
  <c r="L616" i="66"/>
  <c r="P616" i="66"/>
  <c r="T616" i="66"/>
  <c r="L617" i="66"/>
  <c r="P617" i="66"/>
  <c r="T617" i="66"/>
  <c r="L618" i="66"/>
  <c r="P618" i="66"/>
  <c r="T618" i="66"/>
  <c r="K619" i="66"/>
  <c r="L619" i="66"/>
  <c r="O619" i="66"/>
  <c r="P619" i="66"/>
  <c r="S619" i="66"/>
  <c r="T619" i="66"/>
  <c r="K620" i="66"/>
  <c r="L620" i="66"/>
  <c r="O620" i="66"/>
  <c r="P620" i="66"/>
  <c r="S620" i="66"/>
  <c r="T620" i="66"/>
  <c r="K622" i="66"/>
  <c r="L622" i="66"/>
  <c r="O622" i="66"/>
  <c r="P622" i="66"/>
  <c r="S622" i="66"/>
  <c r="T622" i="66"/>
  <c r="L582" i="66"/>
  <c r="P582" i="66"/>
  <c r="T582" i="66"/>
  <c r="L583" i="66"/>
  <c r="P583" i="66"/>
  <c r="T583" i="66"/>
  <c r="L584" i="66"/>
  <c r="P584" i="66"/>
  <c r="T584" i="66"/>
  <c r="K585" i="66"/>
  <c r="L585" i="66"/>
  <c r="O585" i="66"/>
  <c r="P585" i="66"/>
  <c r="S585" i="66"/>
  <c r="T585" i="66"/>
  <c r="K586" i="66"/>
  <c r="L586" i="66"/>
  <c r="O586" i="66"/>
  <c r="P586" i="66"/>
  <c r="S586" i="66"/>
  <c r="T586" i="66"/>
  <c r="K588" i="66"/>
  <c r="L588" i="66"/>
  <c r="O588" i="66"/>
  <c r="P588" i="66"/>
  <c r="S588" i="66"/>
  <c r="T588" i="66"/>
  <c r="K589" i="66"/>
  <c r="L589" i="66"/>
  <c r="O589" i="66"/>
  <c r="P589" i="66"/>
  <c r="S589" i="66"/>
  <c r="T589" i="66"/>
  <c r="L548" i="66"/>
  <c r="P548" i="66"/>
  <c r="T548" i="66"/>
  <c r="L549" i="66"/>
  <c r="P549" i="66"/>
  <c r="T549" i="66"/>
  <c r="L550" i="66"/>
  <c r="P550" i="66"/>
  <c r="K551" i="66"/>
  <c r="L551" i="66"/>
  <c r="P551" i="66"/>
  <c r="K552" i="66"/>
  <c r="L552" i="66"/>
  <c r="O552" i="66"/>
  <c r="P552" i="66"/>
  <c r="T552" i="66"/>
  <c r="K553" i="66"/>
  <c r="L553" i="66"/>
  <c r="O553" i="66"/>
  <c r="P553" i="66"/>
  <c r="S553" i="66"/>
  <c r="T553" i="66"/>
  <c r="L514" i="66"/>
  <c r="P514" i="66"/>
  <c r="T514" i="66"/>
  <c r="L515" i="66"/>
  <c r="P515" i="66"/>
  <c r="T515" i="66"/>
  <c r="L516" i="66"/>
  <c r="P516" i="66"/>
  <c r="T516" i="66"/>
  <c r="L517" i="66"/>
  <c r="P517" i="66"/>
  <c r="T517" i="66"/>
  <c r="K518" i="66"/>
  <c r="L518" i="66"/>
  <c r="O518" i="66"/>
  <c r="P518" i="66"/>
  <c r="S518" i="66"/>
  <c r="T518" i="66"/>
  <c r="K519" i="66"/>
  <c r="L519" i="66"/>
  <c r="O519" i="66"/>
  <c r="P519" i="66"/>
  <c r="S519" i="66"/>
  <c r="T519" i="66"/>
  <c r="L482" i="66"/>
  <c r="P482" i="66"/>
  <c r="T482" i="66"/>
  <c r="L483" i="66"/>
  <c r="P483" i="66"/>
  <c r="T483" i="66"/>
  <c r="L484" i="66"/>
  <c r="P484" i="66"/>
  <c r="T484" i="66"/>
  <c r="L485" i="66"/>
  <c r="P485" i="66"/>
  <c r="T485" i="66"/>
  <c r="K486" i="66"/>
  <c r="L486" i="66"/>
  <c r="O486" i="66"/>
  <c r="P486" i="66"/>
  <c r="S486" i="66"/>
  <c r="T486" i="66"/>
  <c r="K487" i="66"/>
  <c r="L487" i="66"/>
  <c r="O487" i="66"/>
  <c r="P487" i="66"/>
  <c r="S487" i="66"/>
  <c r="T487" i="66"/>
  <c r="K489" i="66"/>
  <c r="L489" i="66"/>
  <c r="O489" i="66"/>
  <c r="P489" i="66"/>
  <c r="S489" i="66"/>
  <c r="T489" i="66"/>
  <c r="L449" i="66"/>
  <c r="P449" i="66"/>
  <c r="T449" i="66"/>
  <c r="L450" i="66"/>
  <c r="P450" i="66"/>
  <c r="T450" i="66"/>
  <c r="L451" i="66"/>
  <c r="P451" i="66"/>
  <c r="T451" i="66"/>
  <c r="L452" i="66"/>
  <c r="P452" i="66"/>
  <c r="T452" i="66"/>
  <c r="U452" i="66"/>
  <c r="K453" i="66"/>
  <c r="L453" i="66"/>
  <c r="O453" i="66"/>
  <c r="P453" i="66"/>
  <c r="S453" i="66"/>
  <c r="T453" i="66"/>
  <c r="K454" i="66"/>
  <c r="L454" i="66"/>
  <c r="O454" i="66"/>
  <c r="P454" i="66"/>
  <c r="S454" i="66"/>
  <c r="T454" i="66"/>
  <c r="L416" i="66"/>
  <c r="M416" i="66"/>
  <c r="P416" i="66"/>
  <c r="T416" i="66"/>
  <c r="U416" i="66"/>
  <c r="L417" i="66"/>
  <c r="M417" i="66"/>
  <c r="M418" i="66" s="1"/>
  <c r="P417" i="66"/>
  <c r="T417" i="66"/>
  <c r="U417" i="66"/>
  <c r="U418" i="66" s="1"/>
  <c r="L418" i="66"/>
  <c r="P418" i="66"/>
  <c r="T418" i="66"/>
  <c r="L419" i="66"/>
  <c r="M419" i="66"/>
  <c r="M420" i="66" s="1"/>
  <c r="P419" i="66"/>
  <c r="T419" i="66"/>
  <c r="U419" i="66"/>
  <c r="K420" i="66"/>
  <c r="L420" i="66"/>
  <c r="O420" i="66"/>
  <c r="P420" i="66"/>
  <c r="S420" i="66"/>
  <c r="T420" i="66"/>
  <c r="U420" i="66"/>
  <c r="K421" i="66"/>
  <c r="L421" i="66"/>
  <c r="M421" i="66"/>
  <c r="O421" i="66"/>
  <c r="P421" i="66"/>
  <c r="S421" i="66"/>
  <c r="T421" i="66"/>
  <c r="U421" i="66"/>
  <c r="L384" i="66"/>
  <c r="M384" i="66"/>
  <c r="P384" i="66"/>
  <c r="T384" i="66"/>
  <c r="U384" i="66"/>
  <c r="L385" i="66"/>
  <c r="M385" i="66"/>
  <c r="M386" i="66" s="1"/>
  <c r="P385" i="66"/>
  <c r="T385" i="66"/>
  <c r="U385" i="66"/>
  <c r="U386" i="66" s="1"/>
  <c r="L386" i="66"/>
  <c r="P386" i="66"/>
  <c r="T386" i="66"/>
  <c r="K387" i="66"/>
  <c r="L387" i="66"/>
  <c r="M387" i="66"/>
  <c r="M388" i="66" s="1"/>
  <c r="M389" i="66" s="1"/>
  <c r="O387" i="66"/>
  <c r="P387" i="66"/>
  <c r="S387" i="66"/>
  <c r="T387" i="66"/>
  <c r="U387" i="66"/>
  <c r="K388" i="66"/>
  <c r="L388" i="66"/>
  <c r="O388" i="66"/>
  <c r="P388" i="66"/>
  <c r="S388" i="66"/>
  <c r="T388" i="66"/>
  <c r="U388" i="66"/>
  <c r="L350" i="66"/>
  <c r="P350" i="66"/>
  <c r="T350" i="66"/>
  <c r="L351" i="66"/>
  <c r="M351" i="66"/>
  <c r="M352" i="66" s="1"/>
  <c r="M353" i="66" s="1"/>
  <c r="P351" i="66"/>
  <c r="T351" i="66"/>
  <c r="U351" i="66"/>
  <c r="U352" i="66" s="1"/>
  <c r="U353" i="66" s="1"/>
  <c r="U354" i="66" s="1"/>
  <c r="L352" i="66"/>
  <c r="P352" i="66"/>
  <c r="T352" i="66"/>
  <c r="K353" i="66"/>
  <c r="L353" i="66"/>
  <c r="O353" i="66"/>
  <c r="P353" i="66"/>
  <c r="S353" i="66"/>
  <c r="T353" i="66"/>
  <c r="L316" i="66"/>
  <c r="P316" i="66"/>
  <c r="T316" i="66"/>
  <c r="L317" i="66"/>
  <c r="P317" i="66"/>
  <c r="T317" i="66"/>
  <c r="L318" i="66"/>
  <c r="P318" i="66"/>
  <c r="T318" i="66"/>
  <c r="L319" i="66"/>
  <c r="P319" i="66"/>
  <c r="T319" i="66"/>
  <c r="K320" i="66"/>
  <c r="L320" i="66"/>
  <c r="O320" i="66"/>
  <c r="P320" i="66"/>
  <c r="S320" i="66"/>
  <c r="T320" i="66"/>
  <c r="L283" i="66"/>
  <c r="P283" i="66"/>
  <c r="T283" i="66"/>
  <c r="L284" i="66"/>
  <c r="P284" i="66"/>
  <c r="T284" i="66"/>
  <c r="L285" i="66"/>
  <c r="M285" i="66"/>
  <c r="M286" i="66" s="1"/>
  <c r="P285" i="66"/>
  <c r="T285" i="66"/>
  <c r="U285" i="66"/>
  <c r="U286" i="66" s="1"/>
  <c r="L286" i="66"/>
  <c r="P286" i="66"/>
  <c r="T286" i="66"/>
  <c r="K287" i="66"/>
  <c r="L287" i="66"/>
  <c r="M287" i="66"/>
  <c r="M288" i="66" s="1"/>
  <c r="M289" i="66" s="1"/>
  <c r="O287" i="66"/>
  <c r="P287" i="66"/>
  <c r="S287" i="66"/>
  <c r="T287" i="66"/>
  <c r="U287" i="66"/>
  <c r="U288" i="66" s="1"/>
  <c r="U289" i="66" s="1"/>
  <c r="K288" i="66"/>
  <c r="L288" i="66"/>
  <c r="O288" i="66"/>
  <c r="P288" i="66"/>
  <c r="S288" i="66"/>
  <c r="T288" i="66"/>
  <c r="U395" i="66" l="1"/>
  <c r="V394" i="66"/>
  <c r="N389" i="66"/>
  <c r="M390" i="66"/>
  <c r="U422" i="66"/>
  <c r="V422" i="66" s="1"/>
  <c r="M422" i="66"/>
  <c r="N422" i="66" s="1"/>
  <c r="V354" i="66"/>
  <c r="U355" i="66"/>
  <c r="U290" i="66"/>
  <c r="V289" i="66"/>
  <c r="M290" i="66"/>
  <c r="N289" i="66"/>
  <c r="M354" i="66"/>
  <c r="N388" i="66"/>
  <c r="V420" i="66"/>
  <c r="N420" i="66"/>
  <c r="U453" i="66"/>
  <c r="N387" i="66"/>
  <c r="V421" i="66"/>
  <c r="V353" i="66"/>
  <c r="N421" i="66"/>
  <c r="N353" i="66"/>
  <c r="V388" i="66"/>
  <c r="V387" i="66"/>
  <c r="V287" i="66"/>
  <c r="V288" i="66"/>
  <c r="N287" i="66"/>
  <c r="N288" i="66"/>
  <c r="T251" i="66"/>
  <c r="P251" i="66"/>
  <c r="L251" i="66"/>
  <c r="T250" i="66"/>
  <c r="P250" i="66"/>
  <c r="L250" i="66"/>
  <c r="L209" i="66"/>
  <c r="P209" i="66"/>
  <c r="T209" i="66"/>
  <c r="U209" i="66"/>
  <c r="U210" i="66"/>
  <c r="K211" i="66"/>
  <c r="L211" i="66"/>
  <c r="M211" i="66"/>
  <c r="O211" i="66"/>
  <c r="P211" i="66"/>
  <c r="S211" i="66"/>
  <c r="T211" i="66"/>
  <c r="U211" i="66"/>
  <c r="U212" i="66"/>
  <c r="U213" i="66"/>
  <c r="L214" i="66"/>
  <c r="P214" i="66"/>
  <c r="T214" i="66"/>
  <c r="U214" i="66"/>
  <c r="L215" i="66"/>
  <c r="P215" i="66"/>
  <c r="T215" i="66"/>
  <c r="U215" i="66"/>
  <c r="U216" i="66" s="1"/>
  <c r="U217" i="66" s="1"/>
  <c r="U218" i="66" s="1"/>
  <c r="P216" i="66"/>
  <c r="T216" i="66"/>
  <c r="L217" i="66"/>
  <c r="P217" i="66"/>
  <c r="T217" i="66"/>
  <c r="M222" i="66"/>
  <c r="U222" i="66"/>
  <c r="U223" i="66" s="1"/>
  <c r="V223" i="66" s="1"/>
  <c r="K224" i="66"/>
  <c r="L224" i="66"/>
  <c r="M224" i="66"/>
  <c r="N224" i="66"/>
  <c r="O224" i="66"/>
  <c r="S224" i="66"/>
  <c r="T224" i="66"/>
  <c r="U224" i="66"/>
  <c r="L252" i="66"/>
  <c r="P252" i="66"/>
  <c r="T252" i="66"/>
  <c r="L270" i="66"/>
  <c r="M270" i="66"/>
  <c r="P270" i="66"/>
  <c r="T270" i="66"/>
  <c r="U270" i="66"/>
  <c r="AA270" i="66"/>
  <c r="C271" i="66"/>
  <c r="C272" i="66" s="1"/>
  <c r="C273" i="66" s="1"/>
  <c r="C274" i="66" s="1"/>
  <c r="C275" i="66" s="1"/>
  <c r="C276" i="66" s="1"/>
  <c r="E271" i="66"/>
  <c r="E272" i="66" s="1"/>
  <c r="E273" i="66" s="1"/>
  <c r="E274" i="66" s="1"/>
  <c r="E275" i="66" s="1"/>
  <c r="E276" i="66" s="1"/>
  <c r="F271" i="66"/>
  <c r="F272" i="66" s="1"/>
  <c r="F273" i="66" s="1"/>
  <c r="F274" i="66" s="1"/>
  <c r="F275" i="66" s="1"/>
  <c r="F276" i="66" s="1"/>
  <c r="I271" i="66"/>
  <c r="I272" i="66" s="1"/>
  <c r="I273" i="66" s="1"/>
  <c r="I274" i="66" s="1"/>
  <c r="I275" i="66" s="1"/>
  <c r="I276" i="66" s="1"/>
  <c r="J271" i="66"/>
  <c r="J272" i="66" s="1"/>
  <c r="J273" i="66" s="1"/>
  <c r="J274" i="66" s="1"/>
  <c r="J275" i="66" s="1"/>
  <c r="J276" i="66" s="1"/>
  <c r="L271" i="66"/>
  <c r="M271" i="66"/>
  <c r="P271" i="66"/>
  <c r="Q271" i="66"/>
  <c r="T271" i="66"/>
  <c r="U271" i="66"/>
  <c r="AA271" i="66"/>
  <c r="L272" i="66"/>
  <c r="M272" i="66"/>
  <c r="P272" i="66"/>
  <c r="T272" i="66"/>
  <c r="U272" i="66"/>
  <c r="AA272" i="66"/>
  <c r="L273" i="66"/>
  <c r="M273" i="66"/>
  <c r="P273" i="66"/>
  <c r="T273" i="66"/>
  <c r="U273" i="66"/>
  <c r="AA273" i="66"/>
  <c r="L274" i="66"/>
  <c r="M274" i="66"/>
  <c r="P274" i="66"/>
  <c r="T274" i="66"/>
  <c r="U274" i="66"/>
  <c r="AA274" i="66"/>
  <c r="L275" i="66"/>
  <c r="M275" i="66"/>
  <c r="P275" i="66"/>
  <c r="T275" i="66"/>
  <c r="U275" i="66"/>
  <c r="AA275" i="66"/>
  <c r="L276" i="66"/>
  <c r="M276" i="66"/>
  <c r="P276" i="66"/>
  <c r="T276" i="66"/>
  <c r="U276" i="66"/>
  <c r="L183" i="66"/>
  <c r="M183" i="66"/>
  <c r="M184" i="66" s="1"/>
  <c r="M185" i="66" s="1"/>
  <c r="M186" i="66" s="1"/>
  <c r="M187" i="66" s="1"/>
  <c r="P183" i="66"/>
  <c r="T183" i="66"/>
  <c r="U183" i="66"/>
  <c r="U184" i="66" s="1"/>
  <c r="U185" i="66" s="1"/>
  <c r="U186" i="66" s="1"/>
  <c r="U187" i="66" s="1"/>
  <c r="L184" i="66"/>
  <c r="P184" i="66"/>
  <c r="T184" i="66"/>
  <c r="L185" i="66"/>
  <c r="P185" i="66"/>
  <c r="T185" i="66"/>
  <c r="K186" i="66"/>
  <c r="L186" i="66"/>
  <c r="O186" i="66"/>
  <c r="P186" i="66"/>
  <c r="S186" i="66"/>
  <c r="T186" i="66"/>
  <c r="M189" i="66"/>
  <c r="M190" i="66" s="1"/>
  <c r="U189" i="66"/>
  <c r="U190" i="66" s="1"/>
  <c r="L151" i="66"/>
  <c r="M151" i="66"/>
  <c r="M152" i="66" s="1"/>
  <c r="M153" i="66" s="1"/>
  <c r="P151" i="66"/>
  <c r="T151" i="66"/>
  <c r="U151" i="66"/>
  <c r="U152" i="66" s="1"/>
  <c r="U153" i="66" s="1"/>
  <c r="P152" i="66"/>
  <c r="T152" i="66"/>
  <c r="K120" i="66"/>
  <c r="L120" i="66"/>
  <c r="O120" i="66"/>
  <c r="P120" i="66"/>
  <c r="S120" i="66"/>
  <c r="T120" i="66"/>
  <c r="K121" i="66"/>
  <c r="L121" i="66"/>
  <c r="O121" i="66"/>
  <c r="P121" i="66"/>
  <c r="S121" i="66"/>
  <c r="T121" i="66"/>
  <c r="K122" i="66"/>
  <c r="L122" i="66"/>
  <c r="O122" i="66"/>
  <c r="P122" i="66"/>
  <c r="S122" i="66"/>
  <c r="T122" i="66"/>
  <c r="M123" i="66"/>
  <c r="M124" i="66" s="1"/>
  <c r="U123" i="66"/>
  <c r="U124" i="66" s="1"/>
  <c r="K88" i="66"/>
  <c r="L88" i="66"/>
  <c r="M88" i="66"/>
  <c r="O88" i="66"/>
  <c r="P88" i="66"/>
  <c r="S88" i="66"/>
  <c r="T88" i="66"/>
  <c r="U88" i="66"/>
  <c r="L53" i="66"/>
  <c r="M53" i="66"/>
  <c r="P53" i="66"/>
  <c r="T53" i="66"/>
  <c r="U53" i="66"/>
  <c r="L54" i="66"/>
  <c r="M54" i="66"/>
  <c r="P54" i="66"/>
  <c r="T54" i="66"/>
  <c r="U54" i="66"/>
  <c r="K55" i="66"/>
  <c r="L55" i="66"/>
  <c r="M55" i="66"/>
  <c r="O55" i="66"/>
  <c r="P55" i="66"/>
  <c r="S55" i="66"/>
  <c r="T55" i="66"/>
  <c r="U55" i="66"/>
  <c r="K56" i="66"/>
  <c r="L56" i="66"/>
  <c r="M56" i="66"/>
  <c r="M57" i="66" s="1"/>
  <c r="M58" i="66" s="1"/>
  <c r="M59" i="66" s="1"/>
  <c r="M60" i="66" s="1"/>
  <c r="O56" i="66"/>
  <c r="P56" i="66"/>
  <c r="S56" i="66"/>
  <c r="T56" i="66"/>
  <c r="U56" i="66"/>
  <c r="U57" i="66" s="1"/>
  <c r="U58" i="66" s="1"/>
  <c r="U59" i="66" s="1"/>
  <c r="U60" i="66" s="1"/>
  <c r="K57" i="66"/>
  <c r="L57" i="66"/>
  <c r="O57" i="66"/>
  <c r="P57" i="66"/>
  <c r="S57" i="66"/>
  <c r="T57" i="66"/>
  <c r="L22" i="66"/>
  <c r="M22" i="66"/>
  <c r="P22" i="66"/>
  <c r="T22" i="66"/>
  <c r="U22" i="66"/>
  <c r="K23" i="66"/>
  <c r="L23" i="66"/>
  <c r="M23" i="66"/>
  <c r="O23" i="66"/>
  <c r="P23" i="66"/>
  <c r="S23" i="66"/>
  <c r="T23" i="66"/>
  <c r="U23" i="66"/>
  <c r="K24" i="66"/>
  <c r="L24" i="66"/>
  <c r="M24" i="66"/>
  <c r="O24" i="66"/>
  <c r="P24" i="66"/>
  <c r="S24" i="66"/>
  <c r="T24" i="66"/>
  <c r="U24" i="66"/>
  <c r="K25" i="66"/>
  <c r="L25" i="66"/>
  <c r="M25" i="66"/>
  <c r="O25" i="66"/>
  <c r="P25" i="66"/>
  <c r="S25" i="66"/>
  <c r="T25" i="66"/>
  <c r="U25" i="66"/>
  <c r="L19" i="66"/>
  <c r="M19" i="66"/>
  <c r="P19" i="66"/>
  <c r="T19" i="66"/>
  <c r="U19" i="66"/>
  <c r="L20" i="66"/>
  <c r="M20" i="66"/>
  <c r="P20" i="66"/>
  <c r="T20" i="66"/>
  <c r="U20" i="66"/>
  <c r="L21" i="66"/>
  <c r="M21" i="66"/>
  <c r="P21" i="66"/>
  <c r="T21" i="66"/>
  <c r="U21" i="66"/>
  <c r="V395" i="66" l="1"/>
  <c r="U396" i="66"/>
  <c r="V60" i="66"/>
  <c r="U61" i="66"/>
  <c r="N60" i="66"/>
  <c r="M61" i="66"/>
  <c r="N59" i="66"/>
  <c r="U125" i="66"/>
  <c r="V124" i="66"/>
  <c r="M125" i="66"/>
  <c r="N124" i="66"/>
  <c r="V59" i="66"/>
  <c r="V190" i="66"/>
  <c r="U191" i="66"/>
  <c r="N190" i="66"/>
  <c r="M191" i="66"/>
  <c r="N390" i="66"/>
  <c r="M391" i="66"/>
  <c r="V290" i="66"/>
  <c r="U291" i="66"/>
  <c r="N290" i="66"/>
  <c r="M291" i="66"/>
  <c r="M423" i="66"/>
  <c r="M424" i="66" s="1"/>
  <c r="M425" i="66" s="1"/>
  <c r="M426" i="66" s="1"/>
  <c r="U423" i="66"/>
  <c r="U424" i="66" s="1"/>
  <c r="U425" i="66" s="1"/>
  <c r="U426" i="66" s="1"/>
  <c r="N187" i="66"/>
  <c r="M188" i="66"/>
  <c r="N188" i="66" s="1"/>
  <c r="V187" i="66"/>
  <c r="U188" i="66"/>
  <c r="V188" i="66" s="1"/>
  <c r="N354" i="66"/>
  <c r="M355" i="66"/>
  <c r="N355" i="66" s="1"/>
  <c r="V355" i="66"/>
  <c r="U356" i="66"/>
  <c r="U89" i="66"/>
  <c r="M89" i="66"/>
  <c r="U219" i="66"/>
  <c r="V218" i="66"/>
  <c r="V453" i="66"/>
  <c r="U454" i="66"/>
  <c r="U455" i="66" s="1"/>
  <c r="U154" i="66"/>
  <c r="V153" i="66"/>
  <c r="M154" i="66"/>
  <c r="V224" i="66"/>
  <c r="V211" i="66"/>
  <c r="V222" i="66"/>
  <c r="V186" i="66"/>
  <c r="N55" i="66"/>
  <c r="Q272" i="66"/>
  <c r="N186" i="66"/>
  <c r="N189" i="66"/>
  <c r="V189" i="66"/>
  <c r="N123" i="66"/>
  <c r="V123" i="66"/>
  <c r="N56" i="66"/>
  <c r="V88" i="66"/>
  <c r="N88" i="66"/>
  <c r="V58" i="66"/>
  <c r="N58" i="66"/>
  <c r="V55" i="66"/>
  <c r="V25" i="66"/>
  <c r="V57" i="66"/>
  <c r="V56" i="66"/>
  <c r="N57" i="66"/>
  <c r="N25" i="66"/>
  <c r="N24" i="66"/>
  <c r="V23" i="66"/>
  <c r="N23" i="66"/>
  <c r="V24" i="66"/>
  <c r="N426" i="66" l="1"/>
  <c r="M427" i="66"/>
  <c r="V426" i="66"/>
  <c r="U427" i="66"/>
  <c r="U397" i="66"/>
  <c r="V396" i="66"/>
  <c r="N61" i="66"/>
  <c r="M62" i="66"/>
  <c r="V61" i="66"/>
  <c r="U62" i="66"/>
  <c r="V191" i="66"/>
  <c r="U192" i="66"/>
  <c r="N191" i="66"/>
  <c r="M192" i="66"/>
  <c r="N125" i="66"/>
  <c r="M126" i="66"/>
  <c r="V125" i="66"/>
  <c r="U126" i="66"/>
  <c r="V291" i="66"/>
  <c r="U292" i="66"/>
  <c r="N291" i="66"/>
  <c r="M292" i="66"/>
  <c r="N391" i="66"/>
  <c r="M392" i="66"/>
  <c r="V425" i="66"/>
  <c r="N425" i="66"/>
  <c r="V424" i="66"/>
  <c r="N424" i="66"/>
  <c r="V356" i="66"/>
  <c r="U357" i="66"/>
  <c r="V455" i="66"/>
  <c r="U456" i="66"/>
  <c r="N423" i="66"/>
  <c r="V423" i="66"/>
  <c r="V219" i="66"/>
  <c r="U220" i="66"/>
  <c r="N89" i="66"/>
  <c r="M90" i="66"/>
  <c r="V89" i="66"/>
  <c r="U90" i="66"/>
  <c r="M356" i="66"/>
  <c r="V454" i="66"/>
  <c r="M155" i="66"/>
  <c r="N154" i="66"/>
  <c r="U155" i="66"/>
  <c r="V154" i="66"/>
  <c r="Q273" i="66"/>
  <c r="U428" i="66" l="1"/>
  <c r="V427" i="66"/>
  <c r="M428" i="66"/>
  <c r="N427" i="66"/>
  <c r="U398" i="66"/>
  <c r="U399" i="66" s="1"/>
  <c r="V399" i="66" s="1"/>
  <c r="V397" i="66"/>
  <c r="U63" i="66"/>
  <c r="V62" i="66"/>
  <c r="M63" i="66"/>
  <c r="N62" i="66"/>
  <c r="N392" i="66"/>
  <c r="M393" i="66"/>
  <c r="N292" i="66"/>
  <c r="M293" i="66"/>
  <c r="V292" i="66"/>
  <c r="U293" i="66"/>
  <c r="M193" i="66"/>
  <c r="N192" i="66"/>
  <c r="U193" i="66"/>
  <c r="V192" i="66"/>
  <c r="U127" i="66"/>
  <c r="V127" i="66" s="1"/>
  <c r="V126" i="66"/>
  <c r="M127" i="66"/>
  <c r="N127" i="66" s="1"/>
  <c r="N126" i="66"/>
  <c r="V357" i="66"/>
  <c r="U358" i="66"/>
  <c r="V456" i="66"/>
  <c r="U457" i="66"/>
  <c r="N356" i="66"/>
  <c r="M357" i="66"/>
  <c r="U91" i="66"/>
  <c r="V90" i="66"/>
  <c r="M91" i="66"/>
  <c r="N90" i="66"/>
  <c r="U221" i="66"/>
  <c r="V221" i="66" s="1"/>
  <c r="V220" i="66"/>
  <c r="M156" i="66"/>
  <c r="N155" i="66"/>
  <c r="U156" i="66"/>
  <c r="V155" i="66"/>
  <c r="Q274" i="66"/>
  <c r="U429" i="66" l="1"/>
  <c r="V428" i="66"/>
  <c r="M429" i="66"/>
  <c r="N428" i="66"/>
  <c r="N393" i="66"/>
  <c r="M394" i="66"/>
  <c r="V398" i="66"/>
  <c r="N193" i="66"/>
  <c r="M194" i="66"/>
  <c r="V193" i="66"/>
  <c r="U194" i="66"/>
  <c r="M64" i="66"/>
  <c r="N63" i="66"/>
  <c r="U64" i="66"/>
  <c r="V63" i="66"/>
  <c r="V358" i="66"/>
  <c r="U359" i="66"/>
  <c r="U294" i="66"/>
  <c r="V293" i="66"/>
  <c r="M294" i="66"/>
  <c r="N293" i="66"/>
  <c r="V91" i="66"/>
  <c r="U92" i="66"/>
  <c r="N91" i="66"/>
  <c r="M92" i="66"/>
  <c r="N357" i="66"/>
  <c r="M358" i="66"/>
  <c r="V457" i="66"/>
  <c r="U458" i="66"/>
  <c r="M157" i="66"/>
  <c r="N156" i="66"/>
  <c r="U157" i="66"/>
  <c r="V156" i="66"/>
  <c r="Q275" i="66"/>
  <c r="M430" i="66" l="1"/>
  <c r="N429" i="66"/>
  <c r="V429" i="66"/>
  <c r="U430" i="66"/>
  <c r="U400" i="66"/>
  <c r="N394" i="66"/>
  <c r="M395" i="66"/>
  <c r="V294" i="66"/>
  <c r="U295" i="66"/>
  <c r="N294" i="66"/>
  <c r="M295" i="66"/>
  <c r="U195" i="66"/>
  <c r="V194" i="66"/>
  <c r="M195" i="66"/>
  <c r="N194" i="66"/>
  <c r="U65" i="66"/>
  <c r="V64" i="66"/>
  <c r="M65" i="66"/>
  <c r="N64" i="66"/>
  <c r="V458" i="66"/>
  <c r="U459" i="66"/>
  <c r="N358" i="66"/>
  <c r="M359" i="66"/>
  <c r="U360" i="66"/>
  <c r="V359" i="66"/>
  <c r="M93" i="66"/>
  <c r="N92" i="66"/>
  <c r="U93" i="66"/>
  <c r="V92" i="66"/>
  <c r="V157" i="66"/>
  <c r="U158" i="66"/>
  <c r="N157" i="66"/>
  <c r="M158" i="66"/>
  <c r="Q276" i="66"/>
  <c r="Q23" i="65"/>
  <c r="K484" i="66" s="1"/>
  <c r="Q24" i="65"/>
  <c r="K485" i="66" s="1"/>
  <c r="K23" i="65"/>
  <c r="S484" i="66" s="1"/>
  <c r="K24" i="65"/>
  <c r="F23" i="65"/>
  <c r="O484" i="66" s="1"/>
  <c r="F24" i="65"/>
  <c r="O485" i="66" s="1"/>
  <c r="P24" i="55"/>
  <c r="Q23" i="63"/>
  <c r="Q24" i="63"/>
  <c r="K23" i="63"/>
  <c r="S418" i="66" s="1"/>
  <c r="V418" i="66" s="1"/>
  <c r="K24" i="63"/>
  <c r="S419" i="66" s="1"/>
  <c r="V419" i="66" s="1"/>
  <c r="F23" i="63"/>
  <c r="O418" i="66" s="1"/>
  <c r="F24" i="63"/>
  <c r="J47" i="44"/>
  <c r="J46" i="44"/>
  <c r="T550" i="66" s="1"/>
  <c r="K46" i="44"/>
  <c r="S550" i="66" s="1"/>
  <c r="F47" i="44"/>
  <c r="O551" i="66" s="1"/>
  <c r="F46" i="44"/>
  <c r="O550" i="66" s="1"/>
  <c r="V459" i="66" l="1"/>
  <c r="U460" i="66"/>
  <c r="U431" i="66"/>
  <c r="U432" i="66" s="1"/>
  <c r="V432" i="66" s="1"/>
  <c r="V430" i="66"/>
  <c r="M431" i="66"/>
  <c r="M432" i="66" s="1"/>
  <c r="N432" i="66" s="1"/>
  <c r="N430" i="66"/>
  <c r="M396" i="66"/>
  <c r="N395" i="66"/>
  <c r="V400" i="66"/>
  <c r="U401" i="66"/>
  <c r="V401" i="66" s="1"/>
  <c r="V360" i="66"/>
  <c r="U361" i="66"/>
  <c r="M296" i="66"/>
  <c r="N295" i="66"/>
  <c r="U296" i="66"/>
  <c r="V295" i="66"/>
  <c r="M196" i="66"/>
  <c r="N195" i="66"/>
  <c r="U196" i="66"/>
  <c r="V195" i="66"/>
  <c r="M66" i="66"/>
  <c r="M67" i="66" s="1"/>
  <c r="N67" i="66" s="1"/>
  <c r="N65" i="66"/>
  <c r="U66" i="66"/>
  <c r="U67" i="66" s="1"/>
  <c r="V67" i="66" s="1"/>
  <c r="V65" i="66"/>
  <c r="M360" i="66"/>
  <c r="N359" i="66"/>
  <c r="N158" i="66"/>
  <c r="M159" i="66"/>
  <c r="V158" i="66"/>
  <c r="U159" i="66"/>
  <c r="V93" i="66"/>
  <c r="U94" i="66"/>
  <c r="N93" i="66"/>
  <c r="M94" i="66"/>
  <c r="K47" i="44"/>
  <c r="S551" i="66" s="1"/>
  <c r="G23" i="65"/>
  <c r="R24" i="65"/>
  <c r="G46" i="44"/>
  <c r="G47" i="44"/>
  <c r="Q25" i="55"/>
  <c r="L152" i="66"/>
  <c r="L24" i="65"/>
  <c r="S485" i="66"/>
  <c r="R23" i="65"/>
  <c r="K48" i="44"/>
  <c r="T551" i="66"/>
  <c r="L46" i="44"/>
  <c r="G24" i="65"/>
  <c r="L23" i="65"/>
  <c r="G23" i="63"/>
  <c r="L24" i="63"/>
  <c r="G24" i="63"/>
  <c r="O419" i="66"/>
  <c r="R23" i="63"/>
  <c r="K418" i="66"/>
  <c r="N418" i="66" s="1"/>
  <c r="R24" i="63"/>
  <c r="K419" i="66"/>
  <c r="N419" i="66" s="1"/>
  <c r="L23" i="63"/>
  <c r="U461" i="66" l="1"/>
  <c r="V460" i="66"/>
  <c r="N431" i="66"/>
  <c r="V431" i="66"/>
  <c r="M397" i="66"/>
  <c r="N396" i="66"/>
  <c r="N360" i="66"/>
  <c r="M361" i="66"/>
  <c r="U362" i="66"/>
  <c r="V361" i="66"/>
  <c r="V296" i="66"/>
  <c r="U297" i="66"/>
  <c r="M297" i="66"/>
  <c r="N296" i="66"/>
  <c r="U197" i="66"/>
  <c r="U198" i="66" s="1"/>
  <c r="V198" i="66" s="1"/>
  <c r="V196" i="66"/>
  <c r="M197" i="66"/>
  <c r="M198" i="66" s="1"/>
  <c r="N198" i="66" s="1"/>
  <c r="N196" i="66"/>
  <c r="V66" i="66"/>
  <c r="N66" i="66"/>
  <c r="U160" i="66"/>
  <c r="V159" i="66"/>
  <c r="M160" i="66"/>
  <c r="N159" i="66"/>
  <c r="M95" i="66"/>
  <c r="N94" i="66"/>
  <c r="U95" i="66"/>
  <c r="V94" i="66"/>
  <c r="L47" i="44"/>
  <c r="L48" i="44"/>
  <c r="S552" i="66"/>
  <c r="R25" i="55"/>
  <c r="K153" i="66"/>
  <c r="N153" i="66" s="1"/>
  <c r="Q24" i="53"/>
  <c r="R24" i="53" s="1"/>
  <c r="K24" i="53"/>
  <c r="L24" i="53" s="1"/>
  <c r="F24" i="53"/>
  <c r="G24" i="53" s="1"/>
  <c r="Q24" i="54"/>
  <c r="R24" i="54" s="1"/>
  <c r="K24" i="54"/>
  <c r="L24" i="54" s="1"/>
  <c r="F24" i="54"/>
  <c r="G24" i="54" s="1"/>
  <c r="Q24" i="55"/>
  <c r="K152" i="66" s="1"/>
  <c r="N152" i="66" s="1"/>
  <c r="K24" i="55"/>
  <c r="S152" i="66" s="1"/>
  <c r="V152" i="66" s="1"/>
  <c r="F24" i="55"/>
  <c r="O152" i="66" s="1"/>
  <c r="Q24" i="56"/>
  <c r="K185" i="66" s="1"/>
  <c r="N185" i="66" s="1"/>
  <c r="K24" i="56"/>
  <c r="S185" i="66" s="1"/>
  <c r="V185" i="66" s="1"/>
  <c r="F24" i="56"/>
  <c r="O185" i="66" s="1"/>
  <c r="Q24" i="58"/>
  <c r="K253" i="66" s="1"/>
  <c r="K24" i="58"/>
  <c r="S253" i="66" s="1"/>
  <c r="F24" i="58"/>
  <c r="O253" i="66" s="1"/>
  <c r="Q24" i="59"/>
  <c r="K286" i="66" s="1"/>
  <c r="N286" i="66" s="1"/>
  <c r="K24" i="59"/>
  <c r="S286" i="66" s="1"/>
  <c r="V286" i="66" s="1"/>
  <c r="F24" i="59"/>
  <c r="O286" i="66" s="1"/>
  <c r="Q24" i="60"/>
  <c r="K319" i="66" s="1"/>
  <c r="K24" i="60"/>
  <c r="S319" i="66" s="1"/>
  <c r="F24" i="60"/>
  <c r="O319" i="66" s="1"/>
  <c r="Q24" i="61"/>
  <c r="K352" i="66" s="1"/>
  <c r="N352" i="66" s="1"/>
  <c r="K24" i="61"/>
  <c r="S352" i="66" s="1"/>
  <c r="V352" i="66" s="1"/>
  <c r="F24" i="61"/>
  <c r="O352" i="66" s="1"/>
  <c r="Q24" i="62"/>
  <c r="K386" i="66" s="1"/>
  <c r="N386" i="66" s="1"/>
  <c r="K24" i="62"/>
  <c r="S386" i="66" s="1"/>
  <c r="V386" i="66" s="1"/>
  <c r="F24" i="62"/>
  <c r="O386" i="66" s="1"/>
  <c r="Q24" i="64"/>
  <c r="K452" i="66" s="1"/>
  <c r="K24" i="64"/>
  <c r="S452" i="66" s="1"/>
  <c r="V452" i="66" s="1"/>
  <c r="F24" i="64"/>
  <c r="Q24" i="52"/>
  <c r="K54" i="66" s="1"/>
  <c r="N54" i="66" s="1"/>
  <c r="K24" i="52"/>
  <c r="S54" i="66" s="1"/>
  <c r="V54" i="66" s="1"/>
  <c r="F24" i="52"/>
  <c r="Q24" i="51"/>
  <c r="K22" i="66" s="1"/>
  <c r="N22" i="66" s="1"/>
  <c r="K24" i="51"/>
  <c r="S22" i="66" s="1"/>
  <c r="V22" i="66" s="1"/>
  <c r="F24" i="51"/>
  <c r="O22" i="66" s="1"/>
  <c r="Q43" i="49"/>
  <c r="K651" i="66" s="1"/>
  <c r="K43" i="49"/>
  <c r="S651" i="66" s="1"/>
  <c r="F43" i="49"/>
  <c r="O651" i="66" s="1"/>
  <c r="Q47" i="48"/>
  <c r="K618" i="66" s="1"/>
  <c r="K47" i="48"/>
  <c r="S618" i="66" s="1"/>
  <c r="F47" i="48"/>
  <c r="O618" i="66" s="1"/>
  <c r="Q47" i="45"/>
  <c r="K584" i="66" s="1"/>
  <c r="K47" i="45"/>
  <c r="S584" i="66" s="1"/>
  <c r="F47" i="45"/>
  <c r="O584" i="66" s="1"/>
  <c r="Q53" i="46"/>
  <c r="K517" i="66" s="1"/>
  <c r="K53" i="46"/>
  <c r="S517" i="66" s="1"/>
  <c r="F53" i="46"/>
  <c r="O517" i="66" s="1"/>
  <c r="L47" i="45" l="1"/>
  <c r="R24" i="55"/>
  <c r="G24" i="59"/>
  <c r="G24" i="56"/>
  <c r="G47" i="45"/>
  <c r="L24" i="51"/>
  <c r="R43" i="49"/>
  <c r="U462" i="66"/>
  <c r="V461" i="66"/>
  <c r="U433" i="66"/>
  <c r="V433" i="66" s="1"/>
  <c r="M433" i="66"/>
  <c r="N433" i="66" s="1"/>
  <c r="M398" i="66"/>
  <c r="M399" i="66" s="1"/>
  <c r="N399" i="66" s="1"/>
  <c r="N397" i="66"/>
  <c r="U363" i="66"/>
  <c r="V362" i="66"/>
  <c r="M362" i="66"/>
  <c r="N361" i="66"/>
  <c r="M298" i="66"/>
  <c r="M299" i="66" s="1"/>
  <c r="N299" i="66" s="1"/>
  <c r="N297" i="66"/>
  <c r="U298" i="66"/>
  <c r="U299" i="66" s="1"/>
  <c r="V299" i="66" s="1"/>
  <c r="V297" i="66"/>
  <c r="N197" i="66"/>
  <c r="V197" i="66"/>
  <c r="V160" i="66"/>
  <c r="U161" i="66"/>
  <c r="N160" i="66"/>
  <c r="M161" i="66"/>
  <c r="V95" i="66"/>
  <c r="U96" i="66"/>
  <c r="N95" i="66"/>
  <c r="M96" i="66"/>
  <c r="M68" i="66"/>
  <c r="N68" i="66" s="1"/>
  <c r="U68" i="66"/>
  <c r="V68" i="66" s="1"/>
  <c r="L24" i="60"/>
  <c r="R24" i="59"/>
  <c r="L24" i="58"/>
  <c r="L24" i="56"/>
  <c r="G24" i="51"/>
  <c r="L24" i="52"/>
  <c r="R24" i="56"/>
  <c r="R47" i="45"/>
  <c r="R24" i="60"/>
  <c r="G53" i="46"/>
  <c r="L53" i="46"/>
  <c r="R47" i="48"/>
  <c r="G24" i="62"/>
  <c r="I24" i="62" s="1"/>
  <c r="G24" i="61"/>
  <c r="R24" i="61"/>
  <c r="G24" i="58"/>
  <c r="L24" i="55"/>
  <c r="L47" i="48"/>
  <c r="G43" i="49"/>
  <c r="R24" i="64"/>
  <c r="L24" i="61"/>
  <c r="L24" i="62"/>
  <c r="R53" i="46"/>
  <c r="G47" i="48"/>
  <c r="L43" i="49"/>
  <c r="R24" i="51"/>
  <c r="R24" i="52"/>
  <c r="L24" i="64"/>
  <c r="R24" i="62"/>
  <c r="G24" i="60"/>
  <c r="L24" i="59"/>
  <c r="R24" i="58"/>
  <c r="G24" i="55"/>
  <c r="G24" i="64"/>
  <c r="I24" i="64" s="1"/>
  <c r="O452" i="66"/>
  <c r="G24" i="52"/>
  <c r="O54" i="66"/>
  <c r="K87" i="66"/>
  <c r="L87" i="66"/>
  <c r="M87" i="66"/>
  <c r="O87" i="66"/>
  <c r="P87" i="66"/>
  <c r="S87" i="66"/>
  <c r="T87" i="66"/>
  <c r="U87" i="66"/>
  <c r="L117" i="66"/>
  <c r="M117" i="66"/>
  <c r="P117" i="66"/>
  <c r="T117" i="66"/>
  <c r="U117" i="66"/>
  <c r="L118" i="66"/>
  <c r="M118" i="66"/>
  <c r="P118" i="66"/>
  <c r="T118" i="66"/>
  <c r="U118" i="66"/>
  <c r="K119" i="66"/>
  <c r="L119" i="66"/>
  <c r="M119" i="66"/>
  <c r="M120" i="66" s="1"/>
  <c r="O119" i="66"/>
  <c r="P119" i="66"/>
  <c r="S119" i="66"/>
  <c r="T119" i="66"/>
  <c r="U119" i="66"/>
  <c r="U120" i="66" s="1"/>
  <c r="L84" i="66"/>
  <c r="M84" i="66"/>
  <c r="P84" i="66"/>
  <c r="T84" i="66"/>
  <c r="U84" i="66"/>
  <c r="L85" i="66"/>
  <c r="M85" i="66"/>
  <c r="P85" i="66"/>
  <c r="T85" i="66"/>
  <c r="U85" i="66"/>
  <c r="L86" i="66"/>
  <c r="M86" i="66"/>
  <c r="P86" i="66"/>
  <c r="T86" i="66"/>
  <c r="U86" i="66"/>
  <c r="L51" i="66"/>
  <c r="M51" i="66"/>
  <c r="P51" i="66"/>
  <c r="T51" i="66"/>
  <c r="U51" i="66"/>
  <c r="L52" i="66"/>
  <c r="M52" i="66"/>
  <c r="P52" i="66"/>
  <c r="T52" i="66"/>
  <c r="U52" i="66"/>
  <c r="U463" i="66" l="1"/>
  <c r="V462" i="66"/>
  <c r="N398" i="66"/>
  <c r="M363" i="66"/>
  <c r="N362" i="66"/>
  <c r="U364" i="66"/>
  <c r="U365" i="66" s="1"/>
  <c r="V365" i="66" s="1"/>
  <c r="V363" i="66"/>
  <c r="V298" i="66"/>
  <c r="N298" i="66"/>
  <c r="U199" i="66"/>
  <c r="M199" i="66"/>
  <c r="M162" i="66"/>
  <c r="N161" i="66"/>
  <c r="U162" i="66"/>
  <c r="V161" i="66"/>
  <c r="M97" i="66"/>
  <c r="N96" i="66"/>
  <c r="U97" i="66"/>
  <c r="V96" i="66"/>
  <c r="M121" i="66"/>
  <c r="N120" i="66"/>
  <c r="U121" i="66"/>
  <c r="V120" i="66"/>
  <c r="N119" i="66"/>
  <c r="V119" i="66"/>
  <c r="N87" i="66"/>
  <c r="V87" i="66"/>
  <c r="Q52" i="46"/>
  <c r="K52" i="46"/>
  <c r="F52" i="46"/>
  <c r="Q46" i="45"/>
  <c r="K46" i="45"/>
  <c r="F46" i="45"/>
  <c r="Q46" i="48"/>
  <c r="K46" i="48"/>
  <c r="F46" i="48"/>
  <c r="Q42" i="49"/>
  <c r="K42" i="49"/>
  <c r="F42" i="49"/>
  <c r="Q23" i="51"/>
  <c r="K23" i="51"/>
  <c r="F23" i="51"/>
  <c r="K23" i="52"/>
  <c r="F23" i="52"/>
  <c r="Q23" i="53"/>
  <c r="K23" i="53"/>
  <c r="F23" i="53"/>
  <c r="Q23" i="54"/>
  <c r="K23" i="54"/>
  <c r="F23" i="54"/>
  <c r="Q23" i="55"/>
  <c r="K23" i="55"/>
  <c r="F23" i="55"/>
  <c r="Q23" i="56"/>
  <c r="K23" i="56"/>
  <c r="F23" i="56"/>
  <c r="K23" i="57"/>
  <c r="F23" i="57"/>
  <c r="Q23" i="58"/>
  <c r="K23" i="58"/>
  <c r="F23" i="58"/>
  <c r="Q23" i="59"/>
  <c r="K23" i="59"/>
  <c r="F23" i="59"/>
  <c r="Q23" i="60"/>
  <c r="K23" i="60"/>
  <c r="F23" i="60"/>
  <c r="Q23" i="61"/>
  <c r="K23" i="61"/>
  <c r="F23" i="61"/>
  <c r="Q23" i="62"/>
  <c r="K23" i="62"/>
  <c r="F23" i="62"/>
  <c r="Q23" i="64"/>
  <c r="K23" i="64"/>
  <c r="F23" i="64"/>
  <c r="O451" i="66" s="1"/>
  <c r="U464" i="66" l="1"/>
  <c r="U465" i="66" s="1"/>
  <c r="V465" i="66" s="1"/>
  <c r="V463" i="66"/>
  <c r="M400" i="66"/>
  <c r="V364" i="66"/>
  <c r="M364" i="66"/>
  <c r="M365" i="66" s="1"/>
  <c r="N365" i="66" s="1"/>
  <c r="N363" i="66"/>
  <c r="M300" i="66"/>
  <c r="U300" i="66"/>
  <c r="M200" i="66"/>
  <c r="N200" i="66" s="1"/>
  <c r="N199" i="66"/>
  <c r="U200" i="66"/>
  <c r="V200" i="66" s="1"/>
  <c r="V199" i="66"/>
  <c r="U163" i="66"/>
  <c r="V162" i="66"/>
  <c r="M163" i="66"/>
  <c r="N162" i="66"/>
  <c r="U98" i="66"/>
  <c r="V97" i="66"/>
  <c r="M98" i="66"/>
  <c r="N97" i="66"/>
  <c r="G23" i="59"/>
  <c r="O285" i="66"/>
  <c r="L23" i="55"/>
  <c r="S151" i="66"/>
  <c r="V151" i="66" s="1"/>
  <c r="R23" i="51"/>
  <c r="K21" i="66"/>
  <c r="N21" i="66" s="1"/>
  <c r="R52" i="46"/>
  <c r="K516" i="66"/>
  <c r="R23" i="62"/>
  <c r="K385" i="66"/>
  <c r="N385" i="66" s="1"/>
  <c r="L23" i="59"/>
  <c r="S285" i="66"/>
  <c r="V285" i="66" s="1"/>
  <c r="R23" i="55"/>
  <c r="K151" i="66"/>
  <c r="N151" i="66" s="1"/>
  <c r="L23" i="52"/>
  <c r="S53" i="66"/>
  <c r="V53" i="66" s="1"/>
  <c r="R23" i="64"/>
  <c r="K451" i="66"/>
  <c r="G23" i="61"/>
  <c r="O351" i="66"/>
  <c r="L23" i="60"/>
  <c r="S318" i="66"/>
  <c r="G23" i="57"/>
  <c r="O217" i="66"/>
  <c r="R23" i="56"/>
  <c r="K184" i="66"/>
  <c r="N184" i="66" s="1"/>
  <c r="G23" i="64"/>
  <c r="I23" i="64" s="1"/>
  <c r="G23" i="62"/>
  <c r="I23" i="62" s="1"/>
  <c r="O385" i="66"/>
  <c r="L23" i="61"/>
  <c r="S351" i="66"/>
  <c r="V351" i="66" s="1"/>
  <c r="R23" i="60"/>
  <c r="K318" i="66"/>
  <c r="G23" i="58"/>
  <c r="O252" i="66"/>
  <c r="L23" i="57"/>
  <c r="S217" i="66"/>
  <c r="V217" i="66" s="1"/>
  <c r="G23" i="55"/>
  <c r="O151" i="66"/>
  <c r="L23" i="54"/>
  <c r="S118" i="66"/>
  <c r="V118" i="66" s="1"/>
  <c r="R23" i="53"/>
  <c r="K86" i="66"/>
  <c r="N86" i="66" s="1"/>
  <c r="L23" i="51"/>
  <c r="S21" i="66"/>
  <c r="V21" i="66" s="1"/>
  <c r="R42" i="49"/>
  <c r="K650" i="66"/>
  <c r="G46" i="45"/>
  <c r="O583" i="66"/>
  <c r="L52" i="46"/>
  <c r="S516" i="66"/>
  <c r="L23" i="62"/>
  <c r="S385" i="66"/>
  <c r="V385" i="66" s="1"/>
  <c r="L23" i="58"/>
  <c r="S252" i="66"/>
  <c r="R23" i="54"/>
  <c r="K118" i="66"/>
  <c r="N118" i="66" s="1"/>
  <c r="G46" i="48"/>
  <c r="O617" i="66"/>
  <c r="U122" i="66"/>
  <c r="V122" i="66" s="1"/>
  <c r="V121" i="66"/>
  <c r="L23" i="64"/>
  <c r="S451" i="66"/>
  <c r="R23" i="58"/>
  <c r="K252" i="66"/>
  <c r="G23" i="53"/>
  <c r="O86" i="66"/>
  <c r="G42" i="49"/>
  <c r="O650" i="66"/>
  <c r="L46" i="48"/>
  <c r="S617" i="66"/>
  <c r="R46" i="45"/>
  <c r="K583" i="66"/>
  <c r="M122" i="66"/>
  <c r="N122" i="66" s="1"/>
  <c r="N121" i="66"/>
  <c r="R23" i="61"/>
  <c r="K351" i="66"/>
  <c r="N351" i="66" s="1"/>
  <c r="G23" i="56"/>
  <c r="O184" i="66"/>
  <c r="G23" i="52"/>
  <c r="O53" i="66"/>
  <c r="L46" i="45"/>
  <c r="S583" i="66"/>
  <c r="G23" i="60"/>
  <c r="O318" i="66"/>
  <c r="L23" i="56"/>
  <c r="S184" i="66"/>
  <c r="V184" i="66" s="1"/>
  <c r="R23" i="59"/>
  <c r="K285" i="66"/>
  <c r="N285" i="66" s="1"/>
  <c r="G23" i="54"/>
  <c r="O118" i="66"/>
  <c r="L23" i="53"/>
  <c r="S86" i="66"/>
  <c r="V86" i="66" s="1"/>
  <c r="G23" i="51"/>
  <c r="O21" i="66"/>
  <c r="L42" i="49"/>
  <c r="S650" i="66"/>
  <c r="R46" i="48"/>
  <c r="K617" i="66"/>
  <c r="G52" i="46"/>
  <c r="O516" i="66"/>
  <c r="Q23" i="52"/>
  <c r="Q46" i="44"/>
  <c r="K550" i="66" s="1"/>
  <c r="V464" i="66" l="1"/>
  <c r="N400" i="66"/>
  <c r="M401" i="66"/>
  <c r="N401" i="66" s="1"/>
  <c r="N364" i="66"/>
  <c r="U366" i="66"/>
  <c r="U301" i="66"/>
  <c r="V301" i="66" s="1"/>
  <c r="V300" i="66"/>
  <c r="M301" i="66"/>
  <c r="N301" i="66" s="1"/>
  <c r="N300" i="66"/>
  <c r="M164" i="66"/>
  <c r="M165" i="66" s="1"/>
  <c r="N165" i="66" s="1"/>
  <c r="N163" i="66"/>
  <c r="U164" i="66"/>
  <c r="U165" i="66" s="1"/>
  <c r="V165" i="66" s="1"/>
  <c r="V163" i="66"/>
  <c r="M99" i="66"/>
  <c r="M100" i="66" s="1"/>
  <c r="N100" i="66" s="1"/>
  <c r="N98" i="66"/>
  <c r="U99" i="66"/>
  <c r="U100" i="66" s="1"/>
  <c r="V100" i="66" s="1"/>
  <c r="V98" i="66"/>
  <c r="R23" i="52"/>
  <c r="K53" i="66"/>
  <c r="N53" i="66" s="1"/>
  <c r="R46" i="44"/>
  <c r="Q22" i="63"/>
  <c r="K22" i="63"/>
  <c r="F22" i="63"/>
  <c r="O417" i="66" s="1"/>
  <c r="Q22" i="62"/>
  <c r="K384" i="66" s="1"/>
  <c r="N384" i="66" s="1"/>
  <c r="K22" i="62"/>
  <c r="S384" i="66" s="1"/>
  <c r="V384" i="66" s="1"/>
  <c r="F22" i="62"/>
  <c r="Q22" i="61"/>
  <c r="K22" i="61"/>
  <c r="S350" i="66" s="1"/>
  <c r="F22" i="61"/>
  <c r="Q22" i="60"/>
  <c r="K22" i="60"/>
  <c r="S317" i="66" s="1"/>
  <c r="F22" i="60"/>
  <c r="O317" i="66" s="1"/>
  <c r="Q22" i="59"/>
  <c r="K22" i="59"/>
  <c r="F22" i="59"/>
  <c r="O284" i="66" s="1"/>
  <c r="Q22" i="58"/>
  <c r="K22" i="58"/>
  <c r="F22" i="58"/>
  <c r="O251" i="66" s="1"/>
  <c r="P22" i="57"/>
  <c r="Q22" i="57"/>
  <c r="K216" i="66" s="1"/>
  <c r="K22" i="57"/>
  <c r="S216" i="66" s="1"/>
  <c r="V216" i="66" s="1"/>
  <c r="F22" i="57"/>
  <c r="O216" i="66" s="1"/>
  <c r="Q22" i="56"/>
  <c r="K22" i="56"/>
  <c r="F22" i="56"/>
  <c r="O183" i="66" s="1"/>
  <c r="Q22" i="55"/>
  <c r="R22" i="55" s="1"/>
  <c r="K22" i="55"/>
  <c r="L22" i="55" s="1"/>
  <c r="F22" i="55"/>
  <c r="G22" i="55" s="1"/>
  <c r="Q22" i="54"/>
  <c r="K22" i="54"/>
  <c r="F22" i="54"/>
  <c r="Q22" i="53"/>
  <c r="K22" i="53"/>
  <c r="F22" i="53"/>
  <c r="Q22" i="52"/>
  <c r="K52" i="66" s="1"/>
  <c r="N52" i="66" s="1"/>
  <c r="K22" i="52"/>
  <c r="S52" i="66" s="1"/>
  <c r="V52" i="66" s="1"/>
  <c r="F22" i="52"/>
  <c r="Q45" i="48"/>
  <c r="K45" i="48"/>
  <c r="F45" i="48"/>
  <c r="O616" i="66" s="1"/>
  <c r="Q45" i="45"/>
  <c r="K582" i="66" s="1"/>
  <c r="K45" i="45"/>
  <c r="F45" i="45"/>
  <c r="O582" i="66" s="1"/>
  <c r="Q22" i="64"/>
  <c r="K450" i="66" s="1"/>
  <c r="K22" i="64"/>
  <c r="F22" i="64"/>
  <c r="Q22" i="65"/>
  <c r="K483" i="66" s="1"/>
  <c r="K22" i="65"/>
  <c r="F22" i="65"/>
  <c r="G45" i="45" l="1"/>
  <c r="L22" i="52"/>
  <c r="R22" i="65"/>
  <c r="U466" i="66"/>
  <c r="V466" i="66" s="1"/>
  <c r="V366" i="66"/>
  <c r="U367" i="66"/>
  <c r="M366" i="66"/>
  <c r="V164" i="66"/>
  <c r="N164" i="66"/>
  <c r="V99" i="66"/>
  <c r="N99" i="66"/>
  <c r="R22" i="64"/>
  <c r="G45" i="48"/>
  <c r="R22" i="57"/>
  <c r="L22" i="57"/>
  <c r="R22" i="52"/>
  <c r="G22" i="56"/>
  <c r="G22" i="57"/>
  <c r="L22" i="62"/>
  <c r="G22" i="65"/>
  <c r="O483" i="66"/>
  <c r="R22" i="53"/>
  <c r="K85" i="66"/>
  <c r="N85" i="66" s="1"/>
  <c r="L22" i="64"/>
  <c r="S450" i="66"/>
  <c r="L45" i="45"/>
  <c r="S582" i="66"/>
  <c r="R45" i="45"/>
  <c r="L45" i="48"/>
  <c r="S616" i="66"/>
  <c r="L22" i="53"/>
  <c r="S85" i="66"/>
  <c r="V85" i="66" s="1"/>
  <c r="R22" i="54"/>
  <c r="K117" i="66"/>
  <c r="N117" i="66" s="1"/>
  <c r="R22" i="56"/>
  <c r="K183" i="66"/>
  <c r="N183" i="66" s="1"/>
  <c r="G22" i="58"/>
  <c r="G22" i="59"/>
  <c r="G22" i="60"/>
  <c r="R22" i="60"/>
  <c r="K317" i="66"/>
  <c r="R22" i="61"/>
  <c r="K350" i="66"/>
  <c r="R22" i="62"/>
  <c r="G22" i="64"/>
  <c r="I22" i="64" s="1"/>
  <c r="O450" i="66"/>
  <c r="R45" i="48"/>
  <c r="K616" i="66"/>
  <c r="G22" i="62"/>
  <c r="I22" i="62" s="1"/>
  <c r="O384" i="66"/>
  <c r="L22" i="65"/>
  <c r="S483" i="66"/>
  <c r="G22" i="52"/>
  <c r="O52" i="66"/>
  <c r="G22" i="54"/>
  <c r="O117" i="66"/>
  <c r="L22" i="58"/>
  <c r="S251" i="66"/>
  <c r="L22" i="59"/>
  <c r="S284" i="66"/>
  <c r="L22" i="60"/>
  <c r="L22" i="61"/>
  <c r="G22" i="61"/>
  <c r="O350" i="66"/>
  <c r="G22" i="53"/>
  <c r="O85" i="66"/>
  <c r="L22" i="54"/>
  <c r="S117" i="66"/>
  <c r="V117" i="66" s="1"/>
  <c r="L22" i="56"/>
  <c r="S183" i="66"/>
  <c r="V183" i="66" s="1"/>
  <c r="Q23" i="57"/>
  <c r="L216" i="66"/>
  <c r="R22" i="58"/>
  <c r="K251" i="66"/>
  <c r="R22" i="59"/>
  <c r="K284" i="66"/>
  <c r="G22" i="63"/>
  <c r="L22" i="63"/>
  <c r="S417" i="66"/>
  <c r="V417" i="66" s="1"/>
  <c r="R22" i="63"/>
  <c r="K417" i="66"/>
  <c r="N417" i="66" s="1"/>
  <c r="Q22" i="51"/>
  <c r="K20" i="66" s="1"/>
  <c r="N20" i="66" s="1"/>
  <c r="K22" i="51"/>
  <c r="F22" i="51"/>
  <c r="Q45" i="44"/>
  <c r="K549" i="66" s="1"/>
  <c r="K45" i="44"/>
  <c r="F45" i="44"/>
  <c r="F51" i="46"/>
  <c r="Q51" i="46"/>
  <c r="K515" i="66" s="1"/>
  <c r="K51" i="46"/>
  <c r="S515" i="66" s="1"/>
  <c r="Q41" i="49"/>
  <c r="R41" i="49" s="1"/>
  <c r="K41" i="49"/>
  <c r="L41" i="49" s="1"/>
  <c r="F41" i="49"/>
  <c r="G41" i="49" s="1"/>
  <c r="L51" i="46" l="1"/>
  <c r="M367" i="66"/>
  <c r="N366" i="66"/>
  <c r="U368" i="66"/>
  <c r="V368" i="66" s="1"/>
  <c r="V367" i="66"/>
  <c r="M166" i="66"/>
  <c r="U166" i="66"/>
  <c r="M101" i="66"/>
  <c r="N101" i="66" s="1"/>
  <c r="U101" i="66"/>
  <c r="V101" i="66" s="1"/>
  <c r="R51" i="46"/>
  <c r="G45" i="44"/>
  <c r="O549" i="66"/>
  <c r="R45" i="44"/>
  <c r="R22" i="51"/>
  <c r="R23" i="57"/>
  <c r="K217" i="66"/>
  <c r="G22" i="51"/>
  <c r="O20" i="66"/>
  <c r="G51" i="46"/>
  <c r="O515" i="66"/>
  <c r="L45" i="44"/>
  <c r="S549" i="66"/>
  <c r="L22" i="51"/>
  <c r="S20" i="66"/>
  <c r="V20" i="66" s="1"/>
  <c r="Q40" i="49"/>
  <c r="R40" i="49" s="1"/>
  <c r="K40" i="49"/>
  <c r="L40" i="49" s="1"/>
  <c r="F40" i="49"/>
  <c r="G40" i="49" s="1"/>
  <c r="Q50" i="46"/>
  <c r="K50" i="46"/>
  <c r="S514" i="66" s="1"/>
  <c r="F50" i="46"/>
  <c r="O514" i="66" s="1"/>
  <c r="Q44" i="48"/>
  <c r="K44" i="48"/>
  <c r="F44" i="48"/>
  <c r="O615" i="66" s="1"/>
  <c r="Q21" i="51"/>
  <c r="K19" i="66" s="1"/>
  <c r="N19" i="66" s="1"/>
  <c r="K21" i="51"/>
  <c r="F21" i="51"/>
  <c r="Q21" i="52"/>
  <c r="K51" i="66" s="1"/>
  <c r="N51" i="66" s="1"/>
  <c r="K21" i="52"/>
  <c r="S51" i="66" s="1"/>
  <c r="V51" i="66" s="1"/>
  <c r="F21" i="52"/>
  <c r="Q21" i="53"/>
  <c r="K21" i="53"/>
  <c r="F21" i="53"/>
  <c r="O84" i="66" s="1"/>
  <c r="Q21" i="54"/>
  <c r="R21" i="54" s="1"/>
  <c r="K21" i="54"/>
  <c r="L21" i="54" s="1"/>
  <c r="F21" i="54"/>
  <c r="G21" i="54" s="1"/>
  <c r="Q21" i="55"/>
  <c r="R21" i="55" s="1"/>
  <c r="K21" i="55"/>
  <c r="L21" i="55" s="1"/>
  <c r="F21" i="55"/>
  <c r="G21" i="55" s="1"/>
  <c r="Q21" i="56"/>
  <c r="R21" i="56" s="1"/>
  <c r="K21" i="56"/>
  <c r="L21" i="56" s="1"/>
  <c r="F21" i="56"/>
  <c r="G21" i="56" s="1"/>
  <c r="Q21" i="57"/>
  <c r="K215" i="66" s="1"/>
  <c r="K21" i="57"/>
  <c r="S215" i="66" s="1"/>
  <c r="V215" i="66" s="1"/>
  <c r="F21" i="57"/>
  <c r="Q21" i="58"/>
  <c r="K21" i="58"/>
  <c r="S250" i="66" s="1"/>
  <c r="F21" i="58"/>
  <c r="O250" i="66" s="1"/>
  <c r="K21" i="59"/>
  <c r="Q21" i="59"/>
  <c r="K283" i="66" s="1"/>
  <c r="F21" i="59"/>
  <c r="O283" i="66" s="1"/>
  <c r="F20" i="59"/>
  <c r="Q21" i="60"/>
  <c r="K316" i="66" s="1"/>
  <c r="K21" i="60"/>
  <c r="F21" i="60"/>
  <c r="H21" i="61"/>
  <c r="H22" i="61" s="1"/>
  <c r="Q21" i="61"/>
  <c r="R21" i="61" s="1"/>
  <c r="K21" i="61"/>
  <c r="L21" i="61" s="1"/>
  <c r="F21" i="61"/>
  <c r="G21" i="61" s="1"/>
  <c r="Q21" i="62"/>
  <c r="R21" i="62" s="1"/>
  <c r="K21" i="62"/>
  <c r="L21" i="62" s="1"/>
  <c r="F21" i="62"/>
  <c r="G21" i="62" s="1"/>
  <c r="I21" i="62" s="1"/>
  <c r="Q21" i="63"/>
  <c r="K21" i="63"/>
  <c r="F21" i="63"/>
  <c r="O416" i="66" s="1"/>
  <c r="Q21" i="64"/>
  <c r="K449" i="66" s="1"/>
  <c r="K21" i="64"/>
  <c r="F21" i="64"/>
  <c r="Q21" i="65"/>
  <c r="K482" i="66" s="1"/>
  <c r="K21" i="65"/>
  <c r="H21" i="65"/>
  <c r="H22" i="65" s="1"/>
  <c r="F21" i="65"/>
  <c r="K44" i="44"/>
  <c r="F44" i="44"/>
  <c r="O548" i="66" s="1"/>
  <c r="Q44" i="44"/>
  <c r="K548" i="66" s="1"/>
  <c r="R21" i="57" l="1"/>
  <c r="G21" i="58"/>
  <c r="M368" i="66"/>
  <c r="N368" i="66" s="1"/>
  <c r="N367" i="66"/>
  <c r="U167" i="66"/>
  <c r="V167" i="66" s="1"/>
  <c r="V166" i="66"/>
  <c r="M167" i="66"/>
  <c r="N167" i="66" s="1"/>
  <c r="N166" i="66"/>
  <c r="L21" i="57"/>
  <c r="L21" i="58"/>
  <c r="I21" i="61"/>
  <c r="G44" i="44"/>
  <c r="L21" i="52"/>
  <c r="G44" i="48"/>
  <c r="G50" i="46"/>
  <c r="R44" i="44"/>
  <c r="R21" i="65"/>
  <c r="R21" i="64"/>
  <c r="R21" i="60"/>
  <c r="R21" i="59"/>
  <c r="R21" i="52"/>
  <c r="R21" i="51"/>
  <c r="L50" i="46"/>
  <c r="G21" i="64"/>
  <c r="I21" i="64" s="1"/>
  <c r="O449" i="66"/>
  <c r="L21" i="65"/>
  <c r="S482" i="66"/>
  <c r="G21" i="65"/>
  <c r="I21" i="65" s="1"/>
  <c r="O482" i="66"/>
  <c r="L21" i="60"/>
  <c r="S316" i="66"/>
  <c r="G21" i="59"/>
  <c r="L21" i="59"/>
  <c r="S283" i="66"/>
  <c r="G21" i="53"/>
  <c r="G21" i="52"/>
  <c r="O51" i="66"/>
  <c r="R44" i="48"/>
  <c r="K615" i="66"/>
  <c r="R21" i="58"/>
  <c r="K250" i="66"/>
  <c r="R50" i="46"/>
  <c r="K514" i="66"/>
  <c r="G21" i="57"/>
  <c r="O215" i="66"/>
  <c r="L21" i="53"/>
  <c r="S84" i="66"/>
  <c r="V84" i="66" s="1"/>
  <c r="L21" i="51"/>
  <c r="S19" i="66"/>
  <c r="V19" i="66" s="1"/>
  <c r="I22" i="65"/>
  <c r="H23" i="65"/>
  <c r="G21" i="51"/>
  <c r="O19" i="66"/>
  <c r="L21" i="64"/>
  <c r="S449" i="66"/>
  <c r="L44" i="44"/>
  <c r="S548" i="66"/>
  <c r="G21" i="60"/>
  <c r="O316" i="66"/>
  <c r="R21" i="53"/>
  <c r="K84" i="66"/>
  <c r="N84" i="66" s="1"/>
  <c r="L44" i="48"/>
  <c r="S615" i="66"/>
  <c r="G21" i="63"/>
  <c r="L21" i="63"/>
  <c r="S416" i="66"/>
  <c r="V416" i="66" s="1"/>
  <c r="R21" i="63"/>
  <c r="K416" i="66"/>
  <c r="N416" i="66" s="1"/>
  <c r="H23" i="61"/>
  <c r="I22" i="61"/>
  <c r="Q44" i="45"/>
  <c r="R44" i="45" s="1"/>
  <c r="K44" i="45"/>
  <c r="L44" i="45" s="1"/>
  <c r="F44" i="45"/>
  <c r="G44" i="45" s="1"/>
  <c r="H24" i="65" l="1"/>
  <c r="I23" i="65"/>
  <c r="I23" i="61"/>
  <c r="H24" i="61"/>
  <c r="Q39" i="49"/>
  <c r="R39" i="49" s="1"/>
  <c r="K39" i="49"/>
  <c r="L39" i="49" s="1"/>
  <c r="F39" i="49"/>
  <c r="G39" i="49" s="1"/>
  <c r="AA18" i="66"/>
  <c r="AA16" i="66"/>
  <c r="AA17" i="66"/>
  <c r="L642" i="66"/>
  <c r="P642" i="66"/>
  <c r="T642" i="66"/>
  <c r="L643" i="66"/>
  <c r="P643" i="66"/>
  <c r="T643" i="66"/>
  <c r="K644" i="66"/>
  <c r="L644" i="66"/>
  <c r="O644" i="66"/>
  <c r="P644" i="66"/>
  <c r="S644" i="66"/>
  <c r="T644" i="66"/>
  <c r="L645" i="66"/>
  <c r="P645" i="66"/>
  <c r="T645" i="66"/>
  <c r="L646" i="66"/>
  <c r="P646" i="66"/>
  <c r="T646" i="66"/>
  <c r="K647" i="66"/>
  <c r="L647" i="66"/>
  <c r="O647" i="66"/>
  <c r="P647" i="66"/>
  <c r="T647" i="66"/>
  <c r="K648" i="66"/>
  <c r="L648" i="66"/>
  <c r="O648" i="66"/>
  <c r="P648" i="66"/>
  <c r="S648" i="66"/>
  <c r="T648" i="66"/>
  <c r="K649" i="66"/>
  <c r="L649" i="66"/>
  <c r="O649" i="66"/>
  <c r="P649" i="66"/>
  <c r="S649" i="66"/>
  <c r="T649" i="66"/>
  <c r="L614" i="66"/>
  <c r="P614" i="66"/>
  <c r="T614" i="66"/>
  <c r="L609" i="66"/>
  <c r="P609" i="66"/>
  <c r="T609" i="66"/>
  <c r="L610" i="66"/>
  <c r="P610" i="66"/>
  <c r="T610" i="66"/>
  <c r="K611" i="66"/>
  <c r="L611" i="66"/>
  <c r="O611" i="66"/>
  <c r="P611" i="66"/>
  <c r="S611" i="66"/>
  <c r="T611" i="66"/>
  <c r="L612" i="66"/>
  <c r="P612" i="66"/>
  <c r="T612" i="66"/>
  <c r="L613" i="66"/>
  <c r="P613" i="66"/>
  <c r="T613" i="66"/>
  <c r="L575" i="66"/>
  <c r="P575" i="66"/>
  <c r="T575" i="66"/>
  <c r="L576" i="66"/>
  <c r="P576" i="66"/>
  <c r="T576" i="66"/>
  <c r="K577" i="66"/>
  <c r="L577" i="66"/>
  <c r="O577" i="66"/>
  <c r="P577" i="66"/>
  <c r="S577" i="66"/>
  <c r="T577" i="66"/>
  <c r="L578" i="66"/>
  <c r="P578" i="66"/>
  <c r="T578" i="66"/>
  <c r="L579" i="66"/>
  <c r="P579" i="66"/>
  <c r="T579" i="66"/>
  <c r="L580" i="66"/>
  <c r="P580" i="66"/>
  <c r="T580" i="66"/>
  <c r="K581" i="66"/>
  <c r="L581" i="66"/>
  <c r="O581" i="66"/>
  <c r="P581" i="66"/>
  <c r="S581" i="66"/>
  <c r="T581" i="66"/>
  <c r="L542" i="66"/>
  <c r="P542" i="66"/>
  <c r="T542" i="66"/>
  <c r="P543" i="66"/>
  <c r="K544" i="66"/>
  <c r="L544" i="66"/>
  <c r="O544" i="66"/>
  <c r="P544" i="66"/>
  <c r="S544" i="66"/>
  <c r="T544" i="66"/>
  <c r="P545" i="66"/>
  <c r="P546" i="66"/>
  <c r="L547" i="66"/>
  <c r="P547" i="66"/>
  <c r="T547" i="66"/>
  <c r="P513" i="66"/>
  <c r="T513" i="66"/>
  <c r="P512" i="66"/>
  <c r="T512" i="66"/>
  <c r="P511" i="66"/>
  <c r="Q511" i="66"/>
  <c r="Q516" i="66" s="1"/>
  <c r="T511" i="66"/>
  <c r="P510" i="66"/>
  <c r="Q510" i="66"/>
  <c r="Q515" i="66" s="1"/>
  <c r="Q520" i="66" s="1"/>
  <c r="S510" i="66"/>
  <c r="T510" i="66"/>
  <c r="P509" i="66"/>
  <c r="Q509" i="66"/>
  <c r="Q514" i="66" s="1"/>
  <c r="T509" i="66"/>
  <c r="P508" i="66"/>
  <c r="Q508" i="66"/>
  <c r="Q513" i="66" s="1"/>
  <c r="Q518" i="66" s="1"/>
  <c r="T508" i="66"/>
  <c r="U508" i="66"/>
  <c r="U509" i="66" s="1"/>
  <c r="U510" i="66" s="1"/>
  <c r="U511" i="66" s="1"/>
  <c r="U512" i="66" s="1"/>
  <c r="U513" i="66" s="1"/>
  <c r="U514" i="66" s="1"/>
  <c r="L508" i="66"/>
  <c r="L509" i="66"/>
  <c r="K510" i="66"/>
  <c r="L510" i="66"/>
  <c r="O510" i="66"/>
  <c r="L511" i="66"/>
  <c r="L512" i="66"/>
  <c r="L513" i="66"/>
  <c r="L476" i="66"/>
  <c r="P476" i="66"/>
  <c r="T476" i="66"/>
  <c r="K478" i="66"/>
  <c r="L478" i="66"/>
  <c r="O478" i="66"/>
  <c r="P478" i="66"/>
  <c r="S478" i="66"/>
  <c r="T478" i="66"/>
  <c r="L481" i="66"/>
  <c r="P481" i="66"/>
  <c r="T481" i="66"/>
  <c r="L443" i="66"/>
  <c r="P443" i="66"/>
  <c r="T443" i="66"/>
  <c r="K445" i="66"/>
  <c r="L445" i="66"/>
  <c r="O445" i="66"/>
  <c r="P445" i="66"/>
  <c r="S445" i="66"/>
  <c r="T445" i="66"/>
  <c r="M446" i="66"/>
  <c r="M447" i="66" s="1"/>
  <c r="U446" i="66"/>
  <c r="U447" i="66" s="1"/>
  <c r="L447" i="66"/>
  <c r="L448" i="66"/>
  <c r="M448" i="66"/>
  <c r="M449" i="66" s="1"/>
  <c r="P448" i="66"/>
  <c r="T448" i="66"/>
  <c r="U448" i="66"/>
  <c r="U449" i="66" s="1"/>
  <c r="L410" i="66"/>
  <c r="M410" i="66"/>
  <c r="M411" i="66" s="1"/>
  <c r="M412" i="66" s="1"/>
  <c r="P410" i="66"/>
  <c r="T410" i="66"/>
  <c r="U410" i="66"/>
  <c r="U411" i="66" s="1"/>
  <c r="U412" i="66" s="1"/>
  <c r="L411" i="66"/>
  <c r="T411" i="66"/>
  <c r="K412" i="66"/>
  <c r="L412" i="66"/>
  <c r="O412" i="66"/>
  <c r="P412" i="66"/>
  <c r="S412" i="66"/>
  <c r="T412" i="66"/>
  <c r="L413" i="66"/>
  <c r="P413" i="66"/>
  <c r="T413" i="66"/>
  <c r="L414" i="66"/>
  <c r="M414" i="66"/>
  <c r="P414" i="66"/>
  <c r="T414" i="66"/>
  <c r="U414" i="66"/>
  <c r="L415" i="66"/>
  <c r="M415" i="66"/>
  <c r="P415" i="66"/>
  <c r="T415" i="66"/>
  <c r="U415" i="66"/>
  <c r="L436" i="66"/>
  <c r="M436" i="66"/>
  <c r="P436" i="66"/>
  <c r="T436" i="66"/>
  <c r="U436" i="66"/>
  <c r="AA436" i="66"/>
  <c r="B437" i="66"/>
  <c r="B438" i="66" s="1"/>
  <c r="B439" i="66" s="1"/>
  <c r="B440" i="66" s="1"/>
  <c r="B441" i="66" s="1"/>
  <c r="B442" i="66" s="1"/>
  <c r="B443" i="66" s="1"/>
  <c r="B444" i="66" s="1"/>
  <c r="B445" i="66" s="1"/>
  <c r="B446" i="66" s="1"/>
  <c r="B447" i="66" s="1"/>
  <c r="B448" i="66" s="1"/>
  <c r="B449" i="66" s="1"/>
  <c r="B450" i="66" s="1"/>
  <c r="B451" i="66" s="1"/>
  <c r="B452" i="66" s="1"/>
  <c r="B453" i="66" s="1"/>
  <c r="B454" i="66" s="1"/>
  <c r="B455" i="66" s="1"/>
  <c r="B456" i="66" s="1"/>
  <c r="B457" i="66" s="1"/>
  <c r="B458" i="66" s="1"/>
  <c r="B459" i="66" s="1"/>
  <c r="B460" i="66" s="1"/>
  <c r="B461" i="66" s="1"/>
  <c r="B462" i="66" s="1"/>
  <c r="B463" i="66" s="1"/>
  <c r="B464" i="66" s="1"/>
  <c r="C437" i="66"/>
  <c r="C438" i="66" s="1"/>
  <c r="C439" i="66" s="1"/>
  <c r="C440" i="66" s="1"/>
  <c r="C441" i="66" s="1"/>
  <c r="C442" i="66" s="1"/>
  <c r="C443" i="66" s="1"/>
  <c r="C444" i="66" s="1"/>
  <c r="C445" i="66" s="1"/>
  <c r="C446" i="66" s="1"/>
  <c r="C447" i="66" s="1"/>
  <c r="C448" i="66" s="1"/>
  <c r="C449" i="66" s="1"/>
  <c r="C450" i="66" s="1"/>
  <c r="C451" i="66" s="1"/>
  <c r="C452" i="66" s="1"/>
  <c r="C453" i="66" s="1"/>
  <c r="C454" i="66" s="1"/>
  <c r="C455" i="66" s="1"/>
  <c r="C456" i="66" s="1"/>
  <c r="C457" i="66" s="1"/>
  <c r="C458" i="66" s="1"/>
  <c r="C459" i="66" s="1"/>
  <c r="C460" i="66" s="1"/>
  <c r="C461" i="66" s="1"/>
  <c r="C462" i="66" s="1"/>
  <c r="C463" i="66" s="1"/>
  <c r="C464" i="66" s="1"/>
  <c r="D437" i="66"/>
  <c r="D438" i="66" s="1"/>
  <c r="D439" i="66" s="1"/>
  <c r="D440" i="66" s="1"/>
  <c r="D441" i="66" s="1"/>
  <c r="D442" i="66" s="1"/>
  <c r="D443" i="66" s="1"/>
  <c r="D444" i="66" s="1"/>
  <c r="D445" i="66" s="1"/>
  <c r="D446" i="66" s="1"/>
  <c r="D447" i="66" s="1"/>
  <c r="D448" i="66" s="1"/>
  <c r="D449" i="66" s="1"/>
  <c r="D450" i="66" s="1"/>
  <c r="D451" i="66" s="1"/>
  <c r="D452" i="66" s="1"/>
  <c r="D453" i="66" s="1"/>
  <c r="D454" i="66" s="1"/>
  <c r="D455" i="66" s="1"/>
  <c r="D456" i="66" s="1"/>
  <c r="D457" i="66" s="1"/>
  <c r="D458" i="66" s="1"/>
  <c r="D459" i="66" s="1"/>
  <c r="D460" i="66" s="1"/>
  <c r="D461" i="66" s="1"/>
  <c r="D462" i="66" s="1"/>
  <c r="D463" i="66" s="1"/>
  <c r="D464" i="66" s="1"/>
  <c r="E437" i="66"/>
  <c r="E438" i="66" s="1"/>
  <c r="E439" i="66" s="1"/>
  <c r="E440" i="66" s="1"/>
  <c r="E441" i="66" s="1"/>
  <c r="E442" i="66" s="1"/>
  <c r="E443" i="66" s="1"/>
  <c r="E444" i="66" s="1"/>
  <c r="E445" i="66" s="1"/>
  <c r="E446" i="66" s="1"/>
  <c r="E447" i="66" s="1"/>
  <c r="E448" i="66" s="1"/>
  <c r="E449" i="66" s="1"/>
  <c r="E450" i="66" s="1"/>
  <c r="E451" i="66" s="1"/>
  <c r="E452" i="66" s="1"/>
  <c r="E453" i="66" s="1"/>
  <c r="E454" i="66" s="1"/>
  <c r="E455" i="66" s="1"/>
  <c r="E456" i="66" s="1"/>
  <c r="E457" i="66" s="1"/>
  <c r="E458" i="66" s="1"/>
  <c r="E459" i="66" s="1"/>
  <c r="E460" i="66" s="1"/>
  <c r="E461" i="66" s="1"/>
  <c r="E462" i="66" s="1"/>
  <c r="E463" i="66" s="1"/>
  <c r="E464" i="66" s="1"/>
  <c r="F437" i="66"/>
  <c r="F438" i="66" s="1"/>
  <c r="F439" i="66" s="1"/>
  <c r="F440" i="66" s="1"/>
  <c r="F441" i="66" s="1"/>
  <c r="F442" i="66" s="1"/>
  <c r="F443" i="66" s="1"/>
  <c r="F444" i="66" s="1"/>
  <c r="F445" i="66" s="1"/>
  <c r="F446" i="66" s="1"/>
  <c r="F447" i="66" s="1"/>
  <c r="F448" i="66" s="1"/>
  <c r="F449" i="66" s="1"/>
  <c r="F450" i="66" s="1"/>
  <c r="F451" i="66" s="1"/>
  <c r="F452" i="66" s="1"/>
  <c r="F453" i="66" s="1"/>
  <c r="F454" i="66" s="1"/>
  <c r="F455" i="66" s="1"/>
  <c r="F456" i="66" s="1"/>
  <c r="F457" i="66" s="1"/>
  <c r="F458" i="66" s="1"/>
  <c r="F459" i="66" s="1"/>
  <c r="F460" i="66" s="1"/>
  <c r="F461" i="66" s="1"/>
  <c r="F462" i="66" s="1"/>
  <c r="F463" i="66" s="1"/>
  <c r="F464" i="66" s="1"/>
  <c r="G437" i="66"/>
  <c r="G438" i="66" s="1"/>
  <c r="G439" i="66" s="1"/>
  <c r="G440" i="66" s="1"/>
  <c r="G441" i="66" s="1"/>
  <c r="G442" i="66" s="1"/>
  <c r="G443" i="66" s="1"/>
  <c r="G444" i="66" s="1"/>
  <c r="G445" i="66" s="1"/>
  <c r="G446" i="66" s="1"/>
  <c r="G447" i="66" s="1"/>
  <c r="G448" i="66" s="1"/>
  <c r="G449" i="66" s="1"/>
  <c r="G450" i="66" s="1"/>
  <c r="G451" i="66" s="1"/>
  <c r="G452" i="66" s="1"/>
  <c r="G453" i="66" s="1"/>
  <c r="G454" i="66" s="1"/>
  <c r="G455" i="66" s="1"/>
  <c r="G456" i="66" s="1"/>
  <c r="G457" i="66" s="1"/>
  <c r="G458" i="66" s="1"/>
  <c r="G459" i="66" s="1"/>
  <c r="G460" i="66" s="1"/>
  <c r="G461" i="66" s="1"/>
  <c r="G462" i="66" s="1"/>
  <c r="G463" i="66" s="1"/>
  <c r="G464" i="66" s="1"/>
  <c r="H437" i="66"/>
  <c r="H438" i="66" s="1"/>
  <c r="H439" i="66" s="1"/>
  <c r="H440" i="66" s="1"/>
  <c r="H441" i="66" s="1"/>
  <c r="H442" i="66" s="1"/>
  <c r="H443" i="66" s="1"/>
  <c r="H444" i="66" s="1"/>
  <c r="H445" i="66" s="1"/>
  <c r="H446" i="66" s="1"/>
  <c r="H447" i="66" s="1"/>
  <c r="H448" i="66" s="1"/>
  <c r="H449" i="66" s="1"/>
  <c r="H450" i="66" s="1"/>
  <c r="H451" i="66" s="1"/>
  <c r="H452" i="66" s="1"/>
  <c r="H453" i="66" s="1"/>
  <c r="H454" i="66" s="1"/>
  <c r="H455" i="66" s="1"/>
  <c r="H456" i="66" s="1"/>
  <c r="H457" i="66" s="1"/>
  <c r="H458" i="66" s="1"/>
  <c r="H459" i="66" s="1"/>
  <c r="H460" i="66" s="1"/>
  <c r="H461" i="66" s="1"/>
  <c r="H462" i="66" s="1"/>
  <c r="H463" i="66" s="1"/>
  <c r="H464" i="66" s="1"/>
  <c r="I437" i="66"/>
  <c r="I438" i="66" s="1"/>
  <c r="I439" i="66" s="1"/>
  <c r="I440" i="66" s="1"/>
  <c r="I441" i="66" s="1"/>
  <c r="I442" i="66" s="1"/>
  <c r="I443" i="66" s="1"/>
  <c r="I444" i="66" s="1"/>
  <c r="I445" i="66" s="1"/>
  <c r="I446" i="66" s="1"/>
  <c r="I447" i="66" s="1"/>
  <c r="I448" i="66" s="1"/>
  <c r="I449" i="66" s="1"/>
  <c r="I450" i="66" s="1"/>
  <c r="I451" i="66" s="1"/>
  <c r="I452" i="66" s="1"/>
  <c r="I453" i="66" s="1"/>
  <c r="I454" i="66" s="1"/>
  <c r="J437" i="66"/>
  <c r="J438" i="66" s="1"/>
  <c r="J439" i="66" s="1"/>
  <c r="J440" i="66" s="1"/>
  <c r="J441" i="66" s="1"/>
  <c r="J442" i="66" s="1"/>
  <c r="J443" i="66" s="1"/>
  <c r="J444" i="66" s="1"/>
  <c r="J445" i="66" s="1"/>
  <c r="J446" i="66" s="1"/>
  <c r="J447" i="66" s="1"/>
  <c r="J448" i="66" s="1"/>
  <c r="J449" i="66" s="1"/>
  <c r="J450" i="66" s="1"/>
  <c r="J451" i="66" s="1"/>
  <c r="J452" i="66" s="1"/>
  <c r="J453" i="66" s="1"/>
  <c r="J454" i="66" s="1"/>
  <c r="J455" i="66" s="1"/>
  <c r="J456" i="66" s="1"/>
  <c r="J457" i="66" s="1"/>
  <c r="J458" i="66" s="1"/>
  <c r="J459" i="66" s="1"/>
  <c r="J460" i="66" s="1"/>
  <c r="J461" i="66" s="1"/>
  <c r="J462" i="66" s="1"/>
  <c r="J463" i="66" s="1"/>
  <c r="J464" i="66" s="1"/>
  <c r="L437" i="66"/>
  <c r="M437" i="66"/>
  <c r="P437" i="66"/>
  <c r="Q437" i="66"/>
  <c r="Q438" i="66" s="1"/>
  <c r="Q439" i="66" s="1"/>
  <c r="Q440" i="66" s="1"/>
  <c r="T437" i="66"/>
  <c r="U437" i="66"/>
  <c r="AA437" i="66"/>
  <c r="L438" i="66"/>
  <c r="M438" i="66"/>
  <c r="P438" i="66"/>
  <c r="T438" i="66"/>
  <c r="U438" i="66"/>
  <c r="AA438" i="66"/>
  <c r="L439" i="66"/>
  <c r="M439" i="66"/>
  <c r="P439" i="66"/>
  <c r="T439" i="66"/>
  <c r="U439" i="66"/>
  <c r="AA439" i="66"/>
  <c r="L440" i="66"/>
  <c r="M440" i="66"/>
  <c r="M441" i="66" s="1"/>
  <c r="P440" i="66"/>
  <c r="T440" i="66"/>
  <c r="U440" i="66"/>
  <c r="U441" i="66" s="1"/>
  <c r="AA440" i="66"/>
  <c r="L441" i="66"/>
  <c r="P441" i="66"/>
  <c r="T441" i="66"/>
  <c r="AA441" i="66"/>
  <c r="L442" i="66"/>
  <c r="M442" i="66"/>
  <c r="M443" i="66" s="1"/>
  <c r="M444" i="66" s="1"/>
  <c r="M445" i="66" s="1"/>
  <c r="P442" i="66"/>
  <c r="T442" i="66"/>
  <c r="U442" i="66"/>
  <c r="U443" i="66" s="1"/>
  <c r="U444" i="66" s="1"/>
  <c r="U445" i="66" s="1"/>
  <c r="L377" i="66"/>
  <c r="M377" i="66"/>
  <c r="P377" i="66"/>
  <c r="T377" i="66"/>
  <c r="U377" i="66"/>
  <c r="M378" i="66"/>
  <c r="M379" i="66" s="1"/>
  <c r="M380" i="66" s="1"/>
  <c r="M381" i="66" s="1"/>
  <c r="U378" i="66"/>
  <c r="U379" i="66" s="1"/>
  <c r="U380" i="66" s="1"/>
  <c r="U381" i="66" s="1"/>
  <c r="K379" i="66"/>
  <c r="L379" i="66"/>
  <c r="O379" i="66"/>
  <c r="P379" i="66"/>
  <c r="S379" i="66"/>
  <c r="T379" i="66"/>
  <c r="L380" i="66"/>
  <c r="P380" i="66"/>
  <c r="T380" i="66"/>
  <c r="L381" i="66"/>
  <c r="P381" i="66"/>
  <c r="T381" i="66"/>
  <c r="L382" i="66"/>
  <c r="M382" i="66"/>
  <c r="P382" i="66"/>
  <c r="T382" i="66"/>
  <c r="U382" i="66"/>
  <c r="K383" i="66"/>
  <c r="L383" i="66"/>
  <c r="M383" i="66"/>
  <c r="O383" i="66"/>
  <c r="P383" i="66"/>
  <c r="S383" i="66"/>
  <c r="T383" i="66"/>
  <c r="U383" i="66"/>
  <c r="L343" i="66"/>
  <c r="M343" i="66"/>
  <c r="P343" i="66"/>
  <c r="T343" i="66"/>
  <c r="U343" i="66"/>
  <c r="M344" i="66"/>
  <c r="U344" i="66"/>
  <c r="K345" i="66"/>
  <c r="L345" i="66"/>
  <c r="M345" i="66"/>
  <c r="M346" i="66" s="1"/>
  <c r="M347" i="66" s="1"/>
  <c r="M348" i="66" s="1"/>
  <c r="O345" i="66"/>
  <c r="P345" i="66"/>
  <c r="S345" i="66"/>
  <c r="T345" i="66"/>
  <c r="U345" i="66"/>
  <c r="U346" i="66" s="1"/>
  <c r="U347" i="66" s="1"/>
  <c r="U348" i="66" s="1"/>
  <c r="L346" i="66"/>
  <c r="P346" i="66"/>
  <c r="T346" i="66"/>
  <c r="L347" i="66"/>
  <c r="P347" i="66"/>
  <c r="T347" i="66"/>
  <c r="L348" i="66"/>
  <c r="P348" i="66"/>
  <c r="T348" i="66"/>
  <c r="K349" i="66"/>
  <c r="L349" i="66"/>
  <c r="M349" i="66"/>
  <c r="M350" i="66" s="1"/>
  <c r="N350" i="66" s="1"/>
  <c r="O349" i="66"/>
  <c r="P349" i="66"/>
  <c r="S349" i="66"/>
  <c r="T349" i="66"/>
  <c r="U349" i="66"/>
  <c r="U350" i="66" s="1"/>
  <c r="V350" i="66" s="1"/>
  <c r="L310" i="66"/>
  <c r="M310" i="66"/>
  <c r="P310" i="66"/>
  <c r="T310" i="66"/>
  <c r="U310" i="66"/>
  <c r="L311" i="66"/>
  <c r="M311" i="66"/>
  <c r="U311" i="66"/>
  <c r="K312" i="66"/>
  <c r="L312" i="66"/>
  <c r="M312" i="66"/>
  <c r="O312" i="66"/>
  <c r="P312" i="66"/>
  <c r="S312" i="66"/>
  <c r="T312" i="66"/>
  <c r="U312" i="66"/>
  <c r="L313" i="66"/>
  <c r="M313" i="66"/>
  <c r="M314" i="66" s="1"/>
  <c r="P313" i="66"/>
  <c r="T313" i="66"/>
  <c r="U313" i="66"/>
  <c r="U314" i="66" s="1"/>
  <c r="L314" i="66"/>
  <c r="P314" i="66"/>
  <c r="T314" i="66"/>
  <c r="L315" i="66"/>
  <c r="P315" i="66"/>
  <c r="T315" i="66"/>
  <c r="L277" i="66"/>
  <c r="M277" i="66"/>
  <c r="P277" i="66"/>
  <c r="T277" i="66"/>
  <c r="U277" i="66"/>
  <c r="L278" i="66"/>
  <c r="M278" i="66"/>
  <c r="P278" i="66"/>
  <c r="T278" i="66"/>
  <c r="U278" i="66"/>
  <c r="K279" i="66"/>
  <c r="L279" i="66"/>
  <c r="M279" i="66"/>
  <c r="O279" i="66"/>
  <c r="P279" i="66"/>
  <c r="S279" i="66"/>
  <c r="T279" i="66"/>
  <c r="U279" i="66"/>
  <c r="L280" i="66"/>
  <c r="M280" i="66"/>
  <c r="P280" i="66"/>
  <c r="T280" i="66"/>
  <c r="U280" i="66"/>
  <c r="L281" i="66"/>
  <c r="M281" i="66"/>
  <c r="M282" i="66" s="1"/>
  <c r="M283" i="66" s="1"/>
  <c r="P281" i="66"/>
  <c r="T281" i="66"/>
  <c r="U281" i="66"/>
  <c r="U282" i="66" s="1"/>
  <c r="U283" i="66" s="1"/>
  <c r="L282" i="66"/>
  <c r="O282" i="66"/>
  <c r="P282" i="66"/>
  <c r="T282" i="66"/>
  <c r="L244" i="66"/>
  <c r="M244" i="66"/>
  <c r="P244" i="66"/>
  <c r="T244" i="66"/>
  <c r="U244" i="66"/>
  <c r="M245" i="66"/>
  <c r="P245" i="66"/>
  <c r="U245" i="66"/>
  <c r="K246" i="66"/>
  <c r="L246" i="66"/>
  <c r="M246" i="66"/>
  <c r="O246" i="66"/>
  <c r="P246" i="66"/>
  <c r="S246" i="66"/>
  <c r="T246" i="66"/>
  <c r="U246" i="66"/>
  <c r="M247" i="66"/>
  <c r="P247" i="66"/>
  <c r="U247" i="66"/>
  <c r="L248" i="66"/>
  <c r="M248" i="66"/>
  <c r="P248" i="66"/>
  <c r="T248" i="66"/>
  <c r="U248" i="66"/>
  <c r="L249" i="66"/>
  <c r="M249" i="66"/>
  <c r="M250" i="66" s="1"/>
  <c r="M251" i="66" s="1"/>
  <c r="M252" i="66" s="1"/>
  <c r="P249" i="66"/>
  <c r="T249" i="66"/>
  <c r="U249" i="66"/>
  <c r="U250" i="66" s="1"/>
  <c r="U251" i="66" s="1"/>
  <c r="U252" i="66" s="1"/>
  <c r="L176" i="66"/>
  <c r="M176" i="66"/>
  <c r="P176" i="66"/>
  <c r="T176" i="66"/>
  <c r="U176" i="66"/>
  <c r="L177" i="66"/>
  <c r="M177" i="66"/>
  <c r="P177" i="66"/>
  <c r="T177" i="66"/>
  <c r="U177" i="66"/>
  <c r="K178" i="66"/>
  <c r="L178" i="66"/>
  <c r="M178" i="66"/>
  <c r="O178" i="66"/>
  <c r="P178" i="66"/>
  <c r="S178" i="66"/>
  <c r="T178" i="66"/>
  <c r="U178" i="66"/>
  <c r="L179" i="66"/>
  <c r="M179" i="66"/>
  <c r="P179" i="66"/>
  <c r="T179" i="66"/>
  <c r="U179" i="66"/>
  <c r="L180" i="66"/>
  <c r="M180" i="66"/>
  <c r="P180" i="66"/>
  <c r="T180" i="66"/>
  <c r="U180" i="66"/>
  <c r="L181" i="66"/>
  <c r="M181" i="66"/>
  <c r="P181" i="66"/>
  <c r="T181" i="66"/>
  <c r="U181" i="66"/>
  <c r="K182" i="66"/>
  <c r="L182" i="66"/>
  <c r="M182" i="66"/>
  <c r="O182" i="66"/>
  <c r="P182" i="66"/>
  <c r="S182" i="66"/>
  <c r="T182" i="66"/>
  <c r="U182" i="66"/>
  <c r="L143" i="66"/>
  <c r="M143" i="66"/>
  <c r="P143" i="66"/>
  <c r="T143" i="66"/>
  <c r="U143" i="66"/>
  <c r="M144" i="66"/>
  <c r="U144" i="66"/>
  <c r="K145" i="66"/>
  <c r="L145" i="66"/>
  <c r="M145" i="66"/>
  <c r="O145" i="66"/>
  <c r="P145" i="66"/>
  <c r="S145" i="66"/>
  <c r="T145" i="66"/>
  <c r="U145" i="66"/>
  <c r="L146" i="66"/>
  <c r="M146" i="66"/>
  <c r="P146" i="66"/>
  <c r="T146" i="66"/>
  <c r="U146" i="66"/>
  <c r="L147" i="66"/>
  <c r="M147" i="66"/>
  <c r="P147" i="66"/>
  <c r="T147" i="66"/>
  <c r="U147" i="66"/>
  <c r="L148" i="66"/>
  <c r="M148" i="66"/>
  <c r="P148" i="66"/>
  <c r="T148" i="66"/>
  <c r="U148" i="66"/>
  <c r="K149" i="66"/>
  <c r="L149" i="66"/>
  <c r="M149" i="66"/>
  <c r="O149" i="66"/>
  <c r="P149" i="66"/>
  <c r="S149" i="66"/>
  <c r="T149" i="66"/>
  <c r="U149" i="66"/>
  <c r="K150" i="66"/>
  <c r="L150" i="66"/>
  <c r="M150" i="66"/>
  <c r="O150" i="66"/>
  <c r="P150" i="66"/>
  <c r="S150" i="66"/>
  <c r="T150" i="66"/>
  <c r="U150" i="66"/>
  <c r="L110" i="66"/>
  <c r="M110" i="66"/>
  <c r="P110" i="66"/>
  <c r="T110" i="66"/>
  <c r="U110" i="66"/>
  <c r="L111" i="66"/>
  <c r="M111" i="66"/>
  <c r="P111" i="66"/>
  <c r="T111" i="66"/>
  <c r="U111" i="66"/>
  <c r="K112" i="66"/>
  <c r="L112" i="66"/>
  <c r="M112" i="66"/>
  <c r="O112" i="66"/>
  <c r="P112" i="66"/>
  <c r="S112" i="66"/>
  <c r="T112" i="66"/>
  <c r="U112" i="66"/>
  <c r="L113" i="66"/>
  <c r="M113" i="66"/>
  <c r="P113" i="66"/>
  <c r="T113" i="66"/>
  <c r="U113" i="66"/>
  <c r="L114" i="66"/>
  <c r="M114" i="66"/>
  <c r="P114" i="66"/>
  <c r="T114" i="66"/>
  <c r="U114" i="66"/>
  <c r="L115" i="66"/>
  <c r="M115" i="66"/>
  <c r="P115" i="66"/>
  <c r="T115" i="66"/>
  <c r="U115" i="66"/>
  <c r="K116" i="66"/>
  <c r="L116" i="66"/>
  <c r="M116" i="66"/>
  <c r="O116" i="66"/>
  <c r="P116" i="66"/>
  <c r="S116" i="66"/>
  <c r="T116" i="66"/>
  <c r="U116" i="66"/>
  <c r="L83" i="66"/>
  <c r="M83" i="66"/>
  <c r="P83" i="66"/>
  <c r="T83" i="66"/>
  <c r="U83" i="66"/>
  <c r="L78" i="66"/>
  <c r="M78" i="66"/>
  <c r="P78" i="66"/>
  <c r="T78" i="66"/>
  <c r="U78" i="66"/>
  <c r="M79" i="66"/>
  <c r="P79" i="66"/>
  <c r="U79" i="66"/>
  <c r="K80" i="66"/>
  <c r="L80" i="66"/>
  <c r="M80" i="66"/>
  <c r="O80" i="66"/>
  <c r="P80" i="66"/>
  <c r="S80" i="66"/>
  <c r="T80" i="66"/>
  <c r="U80" i="66"/>
  <c r="L81" i="66"/>
  <c r="M81" i="66"/>
  <c r="P81" i="66"/>
  <c r="T81" i="66"/>
  <c r="U81" i="66"/>
  <c r="L82" i="66"/>
  <c r="M82" i="66"/>
  <c r="P82" i="66"/>
  <c r="T82" i="66"/>
  <c r="U82" i="66"/>
  <c r="L50" i="66"/>
  <c r="M50" i="66"/>
  <c r="P50" i="66"/>
  <c r="T50" i="66"/>
  <c r="U50" i="66"/>
  <c r="L45" i="66"/>
  <c r="M45" i="66"/>
  <c r="P45" i="66"/>
  <c r="T45" i="66"/>
  <c r="U45" i="66"/>
  <c r="L46" i="66"/>
  <c r="M46" i="66"/>
  <c r="P46" i="66"/>
  <c r="T46" i="66"/>
  <c r="U46" i="66"/>
  <c r="K47" i="66"/>
  <c r="L47" i="66"/>
  <c r="M47" i="66"/>
  <c r="O47" i="66"/>
  <c r="P47" i="66"/>
  <c r="S47" i="66"/>
  <c r="T47" i="66"/>
  <c r="U47" i="66"/>
  <c r="L48" i="66"/>
  <c r="M48" i="66"/>
  <c r="P48" i="66"/>
  <c r="T48" i="66"/>
  <c r="U48" i="66"/>
  <c r="L49" i="66"/>
  <c r="M49" i="66"/>
  <c r="P49" i="66"/>
  <c r="T49" i="66"/>
  <c r="U49" i="66"/>
  <c r="L18" i="66"/>
  <c r="M18" i="66"/>
  <c r="P18" i="66"/>
  <c r="T18" i="66"/>
  <c r="U18" i="66"/>
  <c r="M17" i="66"/>
  <c r="P17" i="66"/>
  <c r="T17" i="66"/>
  <c r="U17" i="66"/>
  <c r="K15" i="66"/>
  <c r="L15" i="66"/>
  <c r="M15" i="66"/>
  <c r="O15" i="66"/>
  <c r="P15" i="66"/>
  <c r="S15" i="66"/>
  <c r="T15" i="66"/>
  <c r="U15" i="66"/>
  <c r="L16" i="66"/>
  <c r="M16" i="66"/>
  <c r="P16" i="66"/>
  <c r="T16" i="66"/>
  <c r="U16" i="66"/>
  <c r="C465" i="66" l="1"/>
  <c r="C466" i="66" s="1"/>
  <c r="D465" i="66"/>
  <c r="D466" i="66" s="1"/>
  <c r="H465" i="66"/>
  <c r="H466" i="66" s="1"/>
  <c r="B465" i="66"/>
  <c r="B466" i="66" s="1"/>
  <c r="G465" i="66"/>
  <c r="G466" i="66" s="1"/>
  <c r="F465" i="66"/>
  <c r="F466" i="66" s="1"/>
  <c r="J465" i="66"/>
  <c r="J466" i="66" s="1"/>
  <c r="E465" i="66"/>
  <c r="E466" i="66" s="1"/>
  <c r="S647" i="66"/>
  <c r="R520" i="66"/>
  <c r="Q525" i="66"/>
  <c r="Q530" i="66" s="1"/>
  <c r="R530" i="66" s="1"/>
  <c r="R518" i="66"/>
  <c r="Q523" i="66"/>
  <c r="R516" i="66"/>
  <c r="Q521" i="66"/>
  <c r="H25" i="61"/>
  <c r="I24" i="61"/>
  <c r="H25" i="65"/>
  <c r="I24" i="65"/>
  <c r="V252" i="66"/>
  <c r="U253" i="66"/>
  <c r="N252" i="66"/>
  <c r="M253" i="66"/>
  <c r="U515" i="66"/>
  <c r="V514" i="66"/>
  <c r="Q519" i="66"/>
  <c r="R514" i="66"/>
  <c r="R515" i="66"/>
  <c r="I455" i="66"/>
  <c r="I456" i="66" s="1"/>
  <c r="I457" i="66" s="1"/>
  <c r="I458" i="66" s="1"/>
  <c r="I459" i="66" s="1"/>
  <c r="I460" i="66" s="1"/>
  <c r="I461" i="66" s="1"/>
  <c r="I462" i="66" s="1"/>
  <c r="I463" i="66" s="1"/>
  <c r="I464" i="66" s="1"/>
  <c r="U450" i="66"/>
  <c r="V449" i="66"/>
  <c r="M450" i="66"/>
  <c r="N449" i="66"/>
  <c r="Y449" i="66" s="1"/>
  <c r="M284" i="66"/>
  <c r="N284" i="66" s="1"/>
  <c r="N283" i="66"/>
  <c r="U284" i="66"/>
  <c r="V284" i="66" s="1"/>
  <c r="V283" i="66"/>
  <c r="V510" i="66"/>
  <c r="R510" i="66"/>
  <c r="V445" i="66"/>
  <c r="N445" i="66"/>
  <c r="Y445" i="66" s="1"/>
  <c r="N412" i="66"/>
  <c r="M413" i="66"/>
  <c r="U413" i="66"/>
  <c r="V412" i="66"/>
  <c r="Q441" i="66"/>
  <c r="Q442" i="66" s="1"/>
  <c r="V383" i="66"/>
  <c r="N312" i="66"/>
  <c r="V312" i="66"/>
  <c r="N149" i="66"/>
  <c r="N182" i="66"/>
  <c r="N178" i="66"/>
  <c r="V379" i="66"/>
  <c r="N379" i="66"/>
  <c r="N383" i="66"/>
  <c r="V279" i="66"/>
  <c r="N349" i="66"/>
  <c r="V345" i="66"/>
  <c r="V349" i="66"/>
  <c r="N345" i="66"/>
  <c r="U315" i="66"/>
  <c r="U316" i="66" s="1"/>
  <c r="M315" i="66"/>
  <c r="M316" i="66" s="1"/>
  <c r="N279" i="66"/>
  <c r="V251" i="66"/>
  <c r="N250" i="66"/>
  <c r="V246" i="66"/>
  <c r="V250" i="66"/>
  <c r="N246" i="66"/>
  <c r="V145" i="66"/>
  <c r="V182" i="66"/>
  <c r="V178" i="66"/>
  <c r="N150" i="66"/>
  <c r="V149" i="66"/>
  <c r="N145" i="66"/>
  <c r="V150" i="66"/>
  <c r="V80" i="66"/>
  <c r="V116" i="66"/>
  <c r="V112" i="66"/>
  <c r="N116" i="66"/>
  <c r="N112" i="66"/>
  <c r="N80" i="66"/>
  <c r="N47" i="66"/>
  <c r="V47" i="66"/>
  <c r="N15" i="66"/>
  <c r="V15" i="66"/>
  <c r="P19" i="51"/>
  <c r="L17" i="66" s="1"/>
  <c r="Q16" i="65"/>
  <c r="P16" i="65"/>
  <c r="L477" i="66" s="1"/>
  <c r="K16" i="65"/>
  <c r="S477" i="66" s="1"/>
  <c r="J16" i="65"/>
  <c r="T477" i="66" s="1"/>
  <c r="F16" i="65"/>
  <c r="O477" i="66" s="1"/>
  <c r="E16" i="65"/>
  <c r="P477" i="66" s="1"/>
  <c r="Q20" i="64"/>
  <c r="Q16" i="64"/>
  <c r="K444" i="66" s="1"/>
  <c r="P16" i="64"/>
  <c r="L444" i="66" s="1"/>
  <c r="K16" i="64"/>
  <c r="S444" i="66" s="1"/>
  <c r="J16" i="64"/>
  <c r="T444" i="66" s="1"/>
  <c r="F16" i="64"/>
  <c r="O444" i="66" s="1"/>
  <c r="E16" i="64"/>
  <c r="P444" i="66" s="1"/>
  <c r="Q20" i="63"/>
  <c r="K415" i="66" s="1"/>
  <c r="N415" i="66" s="1"/>
  <c r="K20" i="63"/>
  <c r="S415" i="66" s="1"/>
  <c r="V415" i="66" s="1"/>
  <c r="F20" i="63"/>
  <c r="O415" i="66" s="1"/>
  <c r="Q20" i="62"/>
  <c r="K382" i="66" s="1"/>
  <c r="N382" i="66" s="1"/>
  <c r="K20" i="62"/>
  <c r="S382" i="66" s="1"/>
  <c r="V382" i="66" s="1"/>
  <c r="F20" i="62"/>
  <c r="O382" i="66" s="1"/>
  <c r="Q20" i="61"/>
  <c r="K348" i="66" s="1"/>
  <c r="N348" i="66" s="1"/>
  <c r="K20" i="61"/>
  <c r="S348" i="66" s="1"/>
  <c r="V348" i="66" s="1"/>
  <c r="F20" i="61"/>
  <c r="O348" i="66" s="1"/>
  <c r="Q20" i="60"/>
  <c r="K20" i="60"/>
  <c r="S315" i="66" s="1"/>
  <c r="F20" i="60"/>
  <c r="O315" i="66" s="1"/>
  <c r="Q20" i="59"/>
  <c r="K282" i="66" s="1"/>
  <c r="N282" i="66" s="1"/>
  <c r="K20" i="59"/>
  <c r="S282" i="66" s="1"/>
  <c r="V282" i="66" s="1"/>
  <c r="G20" i="59"/>
  <c r="Q20" i="58"/>
  <c r="K20" i="58"/>
  <c r="S249" i="66" s="1"/>
  <c r="V249" i="66" s="1"/>
  <c r="F20" i="58"/>
  <c r="O249" i="66" s="1"/>
  <c r="Q16" i="57"/>
  <c r="K210" i="66" s="1"/>
  <c r="P16" i="57"/>
  <c r="L210" i="66" s="1"/>
  <c r="K16" i="57"/>
  <c r="S210" i="66" s="1"/>
  <c r="J16" i="57"/>
  <c r="H19" i="57"/>
  <c r="H20" i="57" s="1"/>
  <c r="H21" i="57" s="1"/>
  <c r="F16" i="57"/>
  <c r="O210" i="66" s="1"/>
  <c r="E16" i="57"/>
  <c r="Q20" i="56"/>
  <c r="K181" i="66" s="1"/>
  <c r="N181" i="66" s="1"/>
  <c r="K20" i="56"/>
  <c r="S181" i="66" s="1"/>
  <c r="V181" i="66" s="1"/>
  <c r="F20" i="56"/>
  <c r="O181" i="66" s="1"/>
  <c r="Q20" i="55"/>
  <c r="K148" i="66" s="1"/>
  <c r="N148" i="66" s="1"/>
  <c r="K20" i="55"/>
  <c r="S148" i="66" s="1"/>
  <c r="V148" i="66" s="1"/>
  <c r="F20" i="55"/>
  <c r="O148" i="66" s="1"/>
  <c r="Q20" i="54"/>
  <c r="K115" i="66" s="1"/>
  <c r="N115" i="66" s="1"/>
  <c r="K20" i="54"/>
  <c r="S115" i="66" s="1"/>
  <c r="V115" i="66" s="1"/>
  <c r="F20" i="54"/>
  <c r="O115" i="66" s="1"/>
  <c r="Q20" i="53"/>
  <c r="K83" i="66" s="1"/>
  <c r="N83" i="66" s="1"/>
  <c r="K20" i="53"/>
  <c r="S83" i="66" s="1"/>
  <c r="V83" i="66" s="1"/>
  <c r="F20" i="53"/>
  <c r="O83" i="66" s="1"/>
  <c r="Q20" i="52"/>
  <c r="K20" i="52"/>
  <c r="S50" i="66" s="1"/>
  <c r="V50" i="66" s="1"/>
  <c r="F20" i="52"/>
  <c r="O50" i="66" s="1"/>
  <c r="K20" i="51"/>
  <c r="F20" i="51"/>
  <c r="O18" i="66" s="1"/>
  <c r="Q42" i="48"/>
  <c r="K613" i="66" s="1"/>
  <c r="Q43" i="48"/>
  <c r="K614" i="66" s="1"/>
  <c r="K43" i="48"/>
  <c r="F43" i="48"/>
  <c r="O614" i="66" s="1"/>
  <c r="F43" i="44"/>
  <c r="O547" i="66" s="1"/>
  <c r="Q39" i="44"/>
  <c r="K543" i="66" s="1"/>
  <c r="P39" i="44"/>
  <c r="K39" i="44"/>
  <c r="J39" i="44"/>
  <c r="T543" i="66" s="1"/>
  <c r="F42" i="44"/>
  <c r="F41" i="44"/>
  <c r="O545" i="66" s="1"/>
  <c r="F39" i="44"/>
  <c r="Q43" i="45"/>
  <c r="K580" i="66" s="1"/>
  <c r="K43" i="45"/>
  <c r="S580" i="66" s="1"/>
  <c r="F43" i="45"/>
  <c r="O580" i="66" s="1"/>
  <c r="Q49" i="46"/>
  <c r="K513" i="66" s="1"/>
  <c r="K49" i="46"/>
  <c r="S513" i="66" s="1"/>
  <c r="V513" i="66" s="1"/>
  <c r="F49" i="46"/>
  <c r="O513" i="66" s="1"/>
  <c r="R513" i="66" s="1"/>
  <c r="G49" i="46" l="1"/>
  <c r="G20" i="54"/>
  <c r="I465" i="66"/>
  <c r="I466" i="66" s="1"/>
  <c r="Q20" i="51"/>
  <c r="K18" i="66" s="1"/>
  <c r="N18" i="66" s="1"/>
  <c r="R523" i="66"/>
  <c r="Q528" i="66"/>
  <c r="R525" i="66"/>
  <c r="R521" i="66"/>
  <c r="Q526" i="66"/>
  <c r="G20" i="52"/>
  <c r="G20" i="53"/>
  <c r="P18" i="57"/>
  <c r="L212" i="66" s="1"/>
  <c r="R519" i="66"/>
  <c r="Q524" i="66"/>
  <c r="R43" i="45"/>
  <c r="R39" i="44"/>
  <c r="L20" i="55"/>
  <c r="L20" i="60"/>
  <c r="L20" i="62"/>
  <c r="R20" i="54"/>
  <c r="R20" i="59"/>
  <c r="G20" i="56"/>
  <c r="G20" i="58"/>
  <c r="G20" i="61"/>
  <c r="I20" i="61" s="1"/>
  <c r="E18" i="64"/>
  <c r="P446" i="66" s="1"/>
  <c r="E18" i="65"/>
  <c r="P479" i="66" s="1"/>
  <c r="G20" i="51"/>
  <c r="L20" i="54"/>
  <c r="R20" i="56"/>
  <c r="P19" i="57"/>
  <c r="L213" i="66" s="1"/>
  <c r="L16" i="57"/>
  <c r="T210" i="66"/>
  <c r="V210" i="66" s="1"/>
  <c r="E18" i="57"/>
  <c r="P212" i="66" s="1"/>
  <c r="P210" i="66"/>
  <c r="H26" i="65"/>
  <c r="I25" i="65"/>
  <c r="L49" i="46"/>
  <c r="L43" i="45"/>
  <c r="L20" i="52"/>
  <c r="R20" i="55"/>
  <c r="L20" i="59"/>
  <c r="G20" i="60"/>
  <c r="L20" i="61"/>
  <c r="G20" i="62"/>
  <c r="I20" i="62" s="1"/>
  <c r="R20" i="62"/>
  <c r="H26" i="61"/>
  <c r="I25" i="61"/>
  <c r="M254" i="66"/>
  <c r="N253" i="66"/>
  <c r="U254" i="66"/>
  <c r="V253" i="66"/>
  <c r="R20" i="63"/>
  <c r="L20" i="63"/>
  <c r="V515" i="66"/>
  <c r="U516" i="66"/>
  <c r="V450" i="66"/>
  <c r="U451" i="66"/>
  <c r="V451" i="66" s="1"/>
  <c r="N450" i="66"/>
  <c r="Y450" i="66" s="1"/>
  <c r="M451" i="66"/>
  <c r="U317" i="66"/>
  <c r="V316" i="66"/>
  <c r="M317" i="66"/>
  <c r="N316" i="66"/>
  <c r="N444" i="66"/>
  <c r="Y444" i="66" s="1"/>
  <c r="V444" i="66"/>
  <c r="G42" i="44"/>
  <c r="O546" i="66"/>
  <c r="S614" i="66"/>
  <c r="L43" i="48"/>
  <c r="Q20" i="57"/>
  <c r="G43" i="44"/>
  <c r="L39" i="44"/>
  <c r="S543" i="66"/>
  <c r="L543" i="66"/>
  <c r="P41" i="44"/>
  <c r="J41" i="44"/>
  <c r="S18" i="66"/>
  <c r="V18" i="66" s="1"/>
  <c r="L20" i="51"/>
  <c r="K50" i="66"/>
  <c r="N50" i="66" s="1"/>
  <c r="R20" i="52"/>
  <c r="R49" i="46"/>
  <c r="G43" i="45"/>
  <c r="O543" i="66"/>
  <c r="G39" i="44"/>
  <c r="K41" i="44"/>
  <c r="S545" i="66" s="1"/>
  <c r="G43" i="48"/>
  <c r="E19" i="57"/>
  <c r="P213" i="66" s="1"/>
  <c r="H22" i="57"/>
  <c r="I21" i="57"/>
  <c r="G20" i="55"/>
  <c r="L20" i="56"/>
  <c r="J18" i="57"/>
  <c r="T212" i="66" s="1"/>
  <c r="R16" i="57"/>
  <c r="L20" i="58"/>
  <c r="R20" i="60"/>
  <c r="K315" i="66"/>
  <c r="N315" i="66" s="1"/>
  <c r="R20" i="61"/>
  <c r="G20" i="63"/>
  <c r="G16" i="64"/>
  <c r="J18" i="64"/>
  <c r="L16" i="64"/>
  <c r="R16" i="64"/>
  <c r="G16" i="65"/>
  <c r="G16" i="57"/>
  <c r="Q19" i="57"/>
  <c r="P18" i="64"/>
  <c r="J18" i="65"/>
  <c r="L16" i="65"/>
  <c r="R16" i="65"/>
  <c r="K477" i="66"/>
  <c r="V315" i="66"/>
  <c r="R20" i="58"/>
  <c r="K249" i="66"/>
  <c r="N249" i="66" s="1"/>
  <c r="R20" i="64"/>
  <c r="K448" i="66"/>
  <c r="N448" i="66" s="1"/>
  <c r="Y448" i="66" s="1"/>
  <c r="P18" i="65"/>
  <c r="R20" i="53"/>
  <c r="L20" i="53"/>
  <c r="R43" i="48"/>
  <c r="Q443" i="66"/>
  <c r="E19" i="64" l="1"/>
  <c r="R20" i="51"/>
  <c r="Q531" i="66"/>
  <c r="R531" i="66" s="1"/>
  <c r="R526" i="66"/>
  <c r="Q533" i="66"/>
  <c r="R533" i="66" s="1"/>
  <c r="R528" i="66"/>
  <c r="R524" i="66"/>
  <c r="Q529" i="66"/>
  <c r="R529" i="66" s="1"/>
  <c r="E19" i="65"/>
  <c r="F19" i="64"/>
  <c r="O447" i="66" s="1"/>
  <c r="F19" i="57"/>
  <c r="O213" i="66" s="1"/>
  <c r="I26" i="65"/>
  <c r="H27" i="65"/>
  <c r="I26" i="61"/>
  <c r="H27" i="61"/>
  <c r="R19" i="57"/>
  <c r="K213" i="66"/>
  <c r="R20" i="57"/>
  <c r="K214" i="66"/>
  <c r="V254" i="66"/>
  <c r="U255" i="66"/>
  <c r="N254" i="66"/>
  <c r="M255" i="66"/>
  <c r="U517" i="66"/>
  <c r="V516" i="66"/>
  <c r="N451" i="66"/>
  <c r="Y451" i="66" s="1"/>
  <c r="M452" i="66"/>
  <c r="M318" i="66"/>
  <c r="N317" i="66"/>
  <c r="U318" i="66"/>
  <c r="V317" i="66"/>
  <c r="L479" i="66"/>
  <c r="Q19" i="65"/>
  <c r="K480" i="66" s="1"/>
  <c r="P19" i="65"/>
  <c r="T446" i="66"/>
  <c r="K19" i="64"/>
  <c r="S447" i="66" s="1"/>
  <c r="J19" i="64"/>
  <c r="T479" i="66"/>
  <c r="J19" i="65"/>
  <c r="K19" i="65"/>
  <c r="S480" i="66" s="1"/>
  <c r="F20" i="65"/>
  <c r="P480" i="66"/>
  <c r="L545" i="66"/>
  <c r="P42" i="44"/>
  <c r="Q42" i="44"/>
  <c r="K546" i="66" s="1"/>
  <c r="L446" i="66"/>
  <c r="Q19" i="64"/>
  <c r="F20" i="57"/>
  <c r="P447" i="66"/>
  <c r="F20" i="64"/>
  <c r="G19" i="64"/>
  <c r="I19" i="64" s="1"/>
  <c r="K19" i="57"/>
  <c r="S213" i="66" s="1"/>
  <c r="J19" i="57"/>
  <c r="T213" i="66" s="1"/>
  <c r="H23" i="57"/>
  <c r="I23" i="57" s="1"/>
  <c r="I22" i="57"/>
  <c r="T545" i="66"/>
  <c r="K42" i="44"/>
  <c r="S546" i="66" s="1"/>
  <c r="J42" i="44"/>
  <c r="Q444" i="66"/>
  <c r="Q38" i="49"/>
  <c r="K646" i="66" s="1"/>
  <c r="K38" i="49"/>
  <c r="S646" i="66" s="1"/>
  <c r="F38" i="49"/>
  <c r="O646" i="66" s="1"/>
  <c r="G19" i="57" l="1"/>
  <c r="I19" i="57" s="1"/>
  <c r="H28" i="61"/>
  <c r="I27" i="61"/>
  <c r="H28" i="65"/>
  <c r="I27" i="65"/>
  <c r="V213" i="66"/>
  <c r="G20" i="57"/>
  <c r="I20" i="57" s="1"/>
  <c r="O214" i="66"/>
  <c r="R38" i="49"/>
  <c r="L38" i="49"/>
  <c r="M256" i="66"/>
  <c r="N255" i="66"/>
  <c r="U256" i="66"/>
  <c r="V255" i="66"/>
  <c r="U518" i="66"/>
  <c r="V517" i="66"/>
  <c r="N452" i="66"/>
  <c r="Y452" i="66" s="1"/>
  <c r="M453" i="66"/>
  <c r="U319" i="66"/>
  <c r="V318" i="66"/>
  <c r="M319" i="66"/>
  <c r="N318" i="66"/>
  <c r="T480" i="66"/>
  <c r="L19" i="65"/>
  <c r="K20" i="65"/>
  <c r="O448" i="66"/>
  <c r="G20" i="64"/>
  <c r="I20" i="64" s="1"/>
  <c r="R42" i="44"/>
  <c r="L546" i="66"/>
  <c r="Q43" i="44"/>
  <c r="O481" i="66"/>
  <c r="G20" i="65"/>
  <c r="I20" i="65" s="1"/>
  <c r="G38" i="49"/>
  <c r="K20" i="57"/>
  <c r="L19" i="57"/>
  <c r="K447" i="66"/>
  <c r="N447" i="66" s="1"/>
  <c r="Y447" i="66" s="1"/>
  <c r="R19" i="64"/>
  <c r="T447" i="66"/>
  <c r="V447" i="66" s="1"/>
  <c r="K20" i="64"/>
  <c r="L19" i="64"/>
  <c r="L480" i="66"/>
  <c r="R19" i="65"/>
  <c r="Q20" i="65"/>
  <c r="K43" i="44"/>
  <c r="T546" i="66"/>
  <c r="L42" i="44"/>
  <c r="Q445" i="66"/>
  <c r="R444" i="66"/>
  <c r="Q19" i="63"/>
  <c r="K19" i="63"/>
  <c r="S414" i="66" s="1"/>
  <c r="V414" i="66" s="1"/>
  <c r="H19" i="63"/>
  <c r="F19" i="63"/>
  <c r="O414" i="66" s="1"/>
  <c r="Q19" i="62"/>
  <c r="K381" i="66" s="1"/>
  <c r="N381" i="66" s="1"/>
  <c r="K19" i="62"/>
  <c r="S381" i="66" s="1"/>
  <c r="V381" i="66" s="1"/>
  <c r="F19" i="62"/>
  <c r="Q19" i="61"/>
  <c r="K347" i="66" s="1"/>
  <c r="N347" i="66" s="1"/>
  <c r="K19" i="61"/>
  <c r="F19" i="61"/>
  <c r="O347" i="66" s="1"/>
  <c r="Q19" i="60"/>
  <c r="K19" i="60"/>
  <c r="S314" i="66" s="1"/>
  <c r="V314" i="66" s="1"/>
  <c r="H19" i="60"/>
  <c r="F19" i="60"/>
  <c r="O314" i="66" s="1"/>
  <c r="K48" i="46"/>
  <c r="S512" i="66" s="1"/>
  <c r="V512" i="66" s="1"/>
  <c r="F48" i="46"/>
  <c r="O512" i="66" s="1"/>
  <c r="Q48" i="46"/>
  <c r="Q19" i="59"/>
  <c r="K19" i="59"/>
  <c r="F19" i="59"/>
  <c r="H19" i="59"/>
  <c r="H20" i="59" s="1"/>
  <c r="Q16" i="58"/>
  <c r="P16" i="58"/>
  <c r="L245" i="66" s="1"/>
  <c r="N251" i="66"/>
  <c r="K16" i="58"/>
  <c r="S245" i="66" s="1"/>
  <c r="J16" i="58"/>
  <c r="T245" i="66" s="1"/>
  <c r="F19" i="58"/>
  <c r="H19" i="58"/>
  <c r="H20" i="58" s="1"/>
  <c r="F16" i="58"/>
  <c r="Q19" i="56"/>
  <c r="K19" i="56"/>
  <c r="H19" i="56"/>
  <c r="H20" i="56" s="1"/>
  <c r="F19" i="56"/>
  <c r="R19" i="61" l="1"/>
  <c r="L19" i="63"/>
  <c r="R19" i="62"/>
  <c r="H29" i="65"/>
  <c r="I28" i="65"/>
  <c r="L16" i="58"/>
  <c r="L19" i="60"/>
  <c r="H29" i="61"/>
  <c r="I28" i="61"/>
  <c r="L20" i="57"/>
  <c r="S214" i="66"/>
  <c r="V214" i="66" s="1"/>
  <c r="N453" i="66"/>
  <c r="Y453" i="66" s="1"/>
  <c r="M454" i="66"/>
  <c r="M455" i="66" s="1"/>
  <c r="M257" i="66"/>
  <c r="N256" i="66"/>
  <c r="U257" i="66"/>
  <c r="V256" i="66"/>
  <c r="G19" i="63"/>
  <c r="I19" i="63" s="1"/>
  <c r="U519" i="66"/>
  <c r="U520" i="66" s="1"/>
  <c r="V518" i="66"/>
  <c r="M320" i="66"/>
  <c r="M321" i="66" s="1"/>
  <c r="N319" i="66"/>
  <c r="V319" i="66"/>
  <c r="U320" i="66"/>
  <c r="U321" i="66" s="1"/>
  <c r="G16" i="58"/>
  <c r="O245" i="66"/>
  <c r="V245" i="66"/>
  <c r="R16" i="58"/>
  <c r="K245" i="66"/>
  <c r="N245" i="66" s="1"/>
  <c r="G19" i="59"/>
  <c r="I19" i="59" s="1"/>
  <c r="O281" i="66"/>
  <c r="H20" i="60"/>
  <c r="G19" i="56"/>
  <c r="I19" i="56" s="1"/>
  <c r="O180" i="66"/>
  <c r="R19" i="56"/>
  <c r="K180" i="66"/>
  <c r="N180" i="66" s="1"/>
  <c r="H21" i="58"/>
  <c r="I20" i="58"/>
  <c r="J18" i="58"/>
  <c r="L19" i="62"/>
  <c r="L43" i="44"/>
  <c r="S547" i="66"/>
  <c r="S481" i="66"/>
  <c r="L20" i="65"/>
  <c r="H21" i="56"/>
  <c r="I20" i="56"/>
  <c r="G19" i="58"/>
  <c r="I19" i="58" s="1"/>
  <c r="O248" i="66"/>
  <c r="P18" i="58"/>
  <c r="L19" i="59"/>
  <c r="S281" i="66"/>
  <c r="V281" i="66" s="1"/>
  <c r="R48" i="46"/>
  <c r="K512" i="66"/>
  <c r="L48" i="46"/>
  <c r="G19" i="60"/>
  <c r="I19" i="60" s="1"/>
  <c r="G19" i="61"/>
  <c r="I19" i="61" s="1"/>
  <c r="G19" i="62"/>
  <c r="I19" i="62" s="1"/>
  <c r="O381" i="66"/>
  <c r="R19" i="63"/>
  <c r="K414" i="66"/>
  <c r="N414" i="66" s="1"/>
  <c r="K481" i="66"/>
  <c r="R20" i="65"/>
  <c r="S448" i="66"/>
  <c r="V448" i="66" s="1"/>
  <c r="L20" i="64"/>
  <c r="H21" i="59"/>
  <c r="I20" i="59"/>
  <c r="G48" i="46"/>
  <c r="R19" i="60"/>
  <c r="K314" i="66"/>
  <c r="N314" i="66" s="1"/>
  <c r="H20" i="63"/>
  <c r="R43" i="44"/>
  <c r="K547" i="66"/>
  <c r="L19" i="56"/>
  <c r="S180" i="66"/>
  <c r="V180" i="66" s="1"/>
  <c r="L19" i="61"/>
  <c r="S347" i="66"/>
  <c r="V347" i="66" s="1"/>
  <c r="R19" i="59"/>
  <c r="K281" i="66"/>
  <c r="N281" i="66" s="1"/>
  <c r="Q446" i="66"/>
  <c r="R445" i="66"/>
  <c r="Q19" i="55"/>
  <c r="K147" i="66" s="1"/>
  <c r="N147" i="66" s="1"/>
  <c r="K19" i="55"/>
  <c r="S147" i="66" s="1"/>
  <c r="V147" i="66" s="1"/>
  <c r="F19" i="55"/>
  <c r="O147" i="66" s="1"/>
  <c r="H19" i="55"/>
  <c r="H20" i="55" s="1"/>
  <c r="Q19" i="54"/>
  <c r="K19" i="54"/>
  <c r="S114" i="66" s="1"/>
  <c r="V114" i="66" s="1"/>
  <c r="F19" i="54"/>
  <c r="O114" i="66" s="1"/>
  <c r="H19" i="54"/>
  <c r="H20" i="54" s="1"/>
  <c r="Q19" i="53"/>
  <c r="K82" i="66" s="1"/>
  <c r="N82" i="66" s="1"/>
  <c r="K19" i="53"/>
  <c r="S82" i="66" s="1"/>
  <c r="V82" i="66" s="1"/>
  <c r="H19" i="53"/>
  <c r="F19" i="53"/>
  <c r="O82" i="66" s="1"/>
  <c r="Q19" i="52"/>
  <c r="K49" i="66" s="1"/>
  <c r="N49" i="66" s="1"/>
  <c r="K19" i="52"/>
  <c r="S49" i="66" s="1"/>
  <c r="V49" i="66" s="1"/>
  <c r="F19" i="52"/>
  <c r="O49" i="66" s="1"/>
  <c r="H19" i="52"/>
  <c r="H20" i="52" s="1"/>
  <c r="H19" i="51"/>
  <c r="H20" i="51" s="1"/>
  <c r="Q19" i="51"/>
  <c r="K17" i="66" s="1"/>
  <c r="N17" i="66" s="1"/>
  <c r="K19" i="51"/>
  <c r="S17" i="66" s="1"/>
  <c r="V17" i="66" s="1"/>
  <c r="F19" i="51"/>
  <c r="O17" i="66" s="1"/>
  <c r="G19" i="52" l="1"/>
  <c r="G19" i="53"/>
  <c r="R19" i="51"/>
  <c r="L19" i="55"/>
  <c r="G19" i="51"/>
  <c r="I19" i="51" s="1"/>
  <c r="H31" i="61"/>
  <c r="I29" i="61"/>
  <c r="H31" i="65"/>
  <c r="I29" i="65"/>
  <c r="V520" i="66"/>
  <c r="U521" i="66"/>
  <c r="N455" i="66"/>
  <c r="Y455" i="66" s="1"/>
  <c r="M456" i="66"/>
  <c r="N321" i="66"/>
  <c r="M322" i="66"/>
  <c r="V321" i="66"/>
  <c r="U322" i="66"/>
  <c r="L19" i="51"/>
  <c r="R19" i="55"/>
  <c r="N454" i="66"/>
  <c r="Y454" i="66" s="1"/>
  <c r="L19" i="54"/>
  <c r="U258" i="66"/>
  <c r="U259" i="66" s="1"/>
  <c r="V257" i="66"/>
  <c r="M258" i="66"/>
  <c r="M259" i="66" s="1"/>
  <c r="N257" i="66"/>
  <c r="V519" i="66"/>
  <c r="V320" i="66"/>
  <c r="N320" i="66"/>
  <c r="R19" i="54"/>
  <c r="K114" i="66"/>
  <c r="N114" i="66" s="1"/>
  <c r="L19" i="52"/>
  <c r="G19" i="54"/>
  <c r="I19" i="54" s="1"/>
  <c r="H21" i="51"/>
  <c r="I20" i="51"/>
  <c r="L19" i="53"/>
  <c r="H21" i="54"/>
  <c r="I20" i="54"/>
  <c r="H21" i="55"/>
  <c r="I20" i="55"/>
  <c r="H21" i="63"/>
  <c r="I20" i="63"/>
  <c r="T247" i="66"/>
  <c r="K19" i="58"/>
  <c r="L247" i="66"/>
  <c r="Q19" i="58"/>
  <c r="H22" i="59"/>
  <c r="I21" i="59"/>
  <c r="H22" i="58"/>
  <c r="I21" i="58"/>
  <c r="H21" i="60"/>
  <c r="I20" i="60"/>
  <c r="H22" i="56"/>
  <c r="I21" i="56"/>
  <c r="R19" i="52"/>
  <c r="H21" i="52"/>
  <c r="I20" i="52"/>
  <c r="G19" i="55"/>
  <c r="I19" i="55" s="1"/>
  <c r="I19" i="53"/>
  <c r="H20" i="53"/>
  <c r="R19" i="53"/>
  <c r="Q447" i="66"/>
  <c r="I19" i="52"/>
  <c r="R42" i="48"/>
  <c r="K42" i="48"/>
  <c r="S613" i="66" s="1"/>
  <c r="F42" i="48"/>
  <c r="O613" i="66" s="1"/>
  <c r="I31" i="65" l="1"/>
  <c r="H32" i="65"/>
  <c r="I31" i="61"/>
  <c r="H32" i="61"/>
  <c r="U260" i="66"/>
  <c r="V259" i="66"/>
  <c r="M260" i="66"/>
  <c r="N259" i="66"/>
  <c r="N258" i="66"/>
  <c r="V258" i="66"/>
  <c r="V521" i="66"/>
  <c r="U522" i="66"/>
  <c r="N456" i="66"/>
  <c r="Y456" i="66" s="1"/>
  <c r="M457" i="66"/>
  <c r="V322" i="66"/>
  <c r="U323" i="66"/>
  <c r="N322" i="66"/>
  <c r="M323" i="66"/>
  <c r="H22" i="60"/>
  <c r="I21" i="60"/>
  <c r="H22" i="54"/>
  <c r="I21" i="54"/>
  <c r="H23" i="59"/>
  <c r="I22" i="59"/>
  <c r="S248" i="66"/>
  <c r="V248" i="66" s="1"/>
  <c r="L19" i="58"/>
  <c r="H22" i="55"/>
  <c r="I21" i="55"/>
  <c r="R19" i="58"/>
  <c r="K248" i="66"/>
  <c r="N248" i="66" s="1"/>
  <c r="H22" i="63"/>
  <c r="I21" i="63"/>
  <c r="H22" i="51"/>
  <c r="I21" i="51"/>
  <c r="H22" i="52"/>
  <c r="I21" i="52"/>
  <c r="H23" i="56"/>
  <c r="I22" i="56"/>
  <c r="H23" i="58"/>
  <c r="I22" i="58"/>
  <c r="H21" i="53"/>
  <c r="I20" i="53"/>
  <c r="G42" i="48"/>
  <c r="L42" i="48"/>
  <c r="Q448" i="66"/>
  <c r="R447" i="66"/>
  <c r="Q42" i="45"/>
  <c r="K579" i="66" s="1"/>
  <c r="K42" i="45"/>
  <c r="S579" i="66" s="1"/>
  <c r="F42" i="45"/>
  <c r="O579" i="66" s="1"/>
  <c r="H33" i="65" l="1"/>
  <c r="I32" i="65"/>
  <c r="H33" i="61"/>
  <c r="I32" i="61"/>
  <c r="N260" i="66"/>
  <c r="M261" i="66"/>
  <c r="V260" i="66"/>
  <c r="U261" i="66"/>
  <c r="N457" i="66"/>
  <c r="Y457" i="66" s="1"/>
  <c r="M458" i="66"/>
  <c r="V522" i="66"/>
  <c r="U523" i="66"/>
  <c r="V323" i="66"/>
  <c r="U324" i="66"/>
  <c r="N323" i="66"/>
  <c r="M324" i="66"/>
  <c r="L42" i="45"/>
  <c r="I23" i="56"/>
  <c r="H24" i="56"/>
  <c r="I23" i="58"/>
  <c r="H24" i="58"/>
  <c r="I23" i="59"/>
  <c r="H24" i="59"/>
  <c r="I22" i="63"/>
  <c r="H23" i="63"/>
  <c r="R448" i="66"/>
  <c r="Q449" i="66"/>
  <c r="H23" i="52"/>
  <c r="I22" i="52"/>
  <c r="H23" i="54"/>
  <c r="I22" i="54"/>
  <c r="G42" i="45"/>
  <c r="R42" i="45"/>
  <c r="H23" i="51"/>
  <c r="I22" i="51"/>
  <c r="H23" i="55"/>
  <c r="I22" i="55"/>
  <c r="H23" i="60"/>
  <c r="I22" i="60"/>
  <c r="H22" i="53"/>
  <c r="I21" i="53"/>
  <c r="K41" i="45"/>
  <c r="S578" i="66" s="1"/>
  <c r="N261" i="66" l="1"/>
  <c r="M262" i="66"/>
  <c r="V261" i="66"/>
  <c r="U262" i="66"/>
  <c r="H34" i="61"/>
  <c r="I33" i="61"/>
  <c r="H34" i="65"/>
  <c r="I33" i="65"/>
  <c r="V523" i="66"/>
  <c r="U524" i="66"/>
  <c r="N458" i="66"/>
  <c r="Y458" i="66" s="1"/>
  <c r="M459" i="66"/>
  <c r="V324" i="66"/>
  <c r="U325" i="66"/>
  <c r="N324" i="66"/>
  <c r="M325" i="66"/>
  <c r="I23" i="60"/>
  <c r="H24" i="60"/>
  <c r="I23" i="51"/>
  <c r="H24" i="51"/>
  <c r="H25" i="58"/>
  <c r="I24" i="58"/>
  <c r="I23" i="55"/>
  <c r="H24" i="55"/>
  <c r="I23" i="52"/>
  <c r="H24" i="52"/>
  <c r="H25" i="59"/>
  <c r="I24" i="59"/>
  <c r="H25" i="56"/>
  <c r="I24" i="56"/>
  <c r="I23" i="54"/>
  <c r="H24" i="54"/>
  <c r="H24" i="63"/>
  <c r="I23" i="63"/>
  <c r="Q450" i="66"/>
  <c r="R449" i="66"/>
  <c r="I22" i="53"/>
  <c r="H23" i="53"/>
  <c r="K47" i="46"/>
  <c r="S511" i="66" s="1"/>
  <c r="V511" i="66" s="1"/>
  <c r="K37" i="49"/>
  <c r="S645" i="66" s="1"/>
  <c r="I34" i="65" l="1"/>
  <c r="H35" i="65"/>
  <c r="N459" i="66"/>
  <c r="Y459" i="66" s="1"/>
  <c r="M460" i="66"/>
  <c r="M263" i="66"/>
  <c r="N262" i="66"/>
  <c r="U263" i="66"/>
  <c r="V262" i="66"/>
  <c r="I34" i="61"/>
  <c r="H35" i="61"/>
  <c r="U525" i="66"/>
  <c r="V524" i="66"/>
  <c r="N325" i="66"/>
  <c r="M326" i="66"/>
  <c r="V325" i="66"/>
  <c r="U326" i="66"/>
  <c r="H25" i="60"/>
  <c r="I24" i="60"/>
  <c r="I24" i="63"/>
  <c r="H25" i="63"/>
  <c r="H25" i="54"/>
  <c r="I24" i="54"/>
  <c r="H25" i="55"/>
  <c r="I24" i="55"/>
  <c r="H25" i="51"/>
  <c r="I24" i="51"/>
  <c r="H26" i="59"/>
  <c r="I25" i="59"/>
  <c r="H25" i="52"/>
  <c r="I24" i="52"/>
  <c r="I23" i="53"/>
  <c r="H24" i="53"/>
  <c r="H26" i="56"/>
  <c r="I25" i="56"/>
  <c r="H26" i="58"/>
  <c r="I25" i="58"/>
  <c r="R450" i="66"/>
  <c r="Q451" i="66"/>
  <c r="L13" i="66"/>
  <c r="M13" i="66"/>
  <c r="P13" i="66"/>
  <c r="T13" i="66"/>
  <c r="U13" i="66"/>
  <c r="AA13" i="66"/>
  <c r="L14" i="66"/>
  <c r="M14" i="66"/>
  <c r="P14" i="66"/>
  <c r="T14" i="66"/>
  <c r="U14" i="66"/>
  <c r="AA14" i="66"/>
  <c r="M26" i="66"/>
  <c r="M27" i="66" s="1"/>
  <c r="U26" i="66"/>
  <c r="U27" i="66" s="1"/>
  <c r="T641" i="66"/>
  <c r="P641" i="66"/>
  <c r="L641" i="66"/>
  <c r="AA640" i="66"/>
  <c r="T640" i="66"/>
  <c r="P640" i="66"/>
  <c r="L640" i="66"/>
  <c r="AA639" i="66"/>
  <c r="T639" i="66"/>
  <c r="P639" i="66"/>
  <c r="L639" i="66"/>
  <c r="AA638" i="66"/>
  <c r="T638" i="66"/>
  <c r="P638" i="66"/>
  <c r="L638" i="66"/>
  <c r="AA637" i="66"/>
  <c r="T637" i="66"/>
  <c r="P637" i="66"/>
  <c r="L637" i="66"/>
  <c r="AA636" i="66"/>
  <c r="T636" i="66"/>
  <c r="P636" i="66"/>
  <c r="L636" i="66"/>
  <c r="AA635" i="66"/>
  <c r="T635" i="66"/>
  <c r="Q635" i="66"/>
  <c r="Q636" i="66" s="1"/>
  <c r="Q637" i="66" s="1"/>
  <c r="P635" i="66"/>
  <c r="L635" i="66"/>
  <c r="J635" i="66"/>
  <c r="J636" i="66" s="1"/>
  <c r="J637" i="66" s="1"/>
  <c r="J638" i="66" s="1"/>
  <c r="J639" i="66" s="1"/>
  <c r="J640" i="66" s="1"/>
  <c r="J641" i="66" s="1"/>
  <c r="J642" i="66" s="1"/>
  <c r="J643" i="66" s="1"/>
  <c r="J644" i="66" s="1"/>
  <c r="J645" i="66" s="1"/>
  <c r="J646" i="66" s="1"/>
  <c r="J647" i="66" s="1"/>
  <c r="J648" i="66" s="1"/>
  <c r="J649" i="66" s="1"/>
  <c r="J650" i="66" s="1"/>
  <c r="J651" i="66" s="1"/>
  <c r="J652" i="66" s="1"/>
  <c r="J653" i="66" s="1"/>
  <c r="J654" i="66" s="1"/>
  <c r="J655" i="66" s="1"/>
  <c r="I635" i="66"/>
  <c r="I636" i="66" s="1"/>
  <c r="I637" i="66" s="1"/>
  <c r="I638" i="66" s="1"/>
  <c r="I639" i="66" s="1"/>
  <c r="I640" i="66" s="1"/>
  <c r="I641" i="66" s="1"/>
  <c r="I642" i="66" s="1"/>
  <c r="I643" i="66" s="1"/>
  <c r="I644" i="66" s="1"/>
  <c r="I645" i="66" s="1"/>
  <c r="I646" i="66" s="1"/>
  <c r="I647" i="66" s="1"/>
  <c r="I648" i="66" s="1"/>
  <c r="I649" i="66" s="1"/>
  <c r="I650" i="66" s="1"/>
  <c r="I651" i="66" s="1"/>
  <c r="I652" i="66" s="1"/>
  <c r="I653" i="66" s="1"/>
  <c r="I654" i="66" s="1"/>
  <c r="I655" i="66" s="1"/>
  <c r="H635" i="66"/>
  <c r="G635" i="66"/>
  <c r="G636" i="66" s="1"/>
  <c r="G637" i="66" s="1"/>
  <c r="G638" i="66" s="1"/>
  <c r="G639" i="66" s="1"/>
  <c r="G640" i="66" s="1"/>
  <c r="G641" i="66" s="1"/>
  <c r="G642" i="66" s="1"/>
  <c r="G643" i="66" s="1"/>
  <c r="G644" i="66" s="1"/>
  <c r="G645" i="66" s="1"/>
  <c r="G646" i="66" s="1"/>
  <c r="G647" i="66" s="1"/>
  <c r="G648" i="66" s="1"/>
  <c r="G649" i="66" s="1"/>
  <c r="G650" i="66" s="1"/>
  <c r="G651" i="66" s="1"/>
  <c r="G652" i="66" s="1"/>
  <c r="G653" i="66" s="1"/>
  <c r="G654" i="66" s="1"/>
  <c r="G655" i="66" s="1"/>
  <c r="F635" i="66"/>
  <c r="F636" i="66" s="1"/>
  <c r="F637" i="66" s="1"/>
  <c r="F638" i="66" s="1"/>
  <c r="F639" i="66" s="1"/>
  <c r="F640" i="66" s="1"/>
  <c r="F641" i="66" s="1"/>
  <c r="F642" i="66" s="1"/>
  <c r="F643" i="66" s="1"/>
  <c r="F644" i="66" s="1"/>
  <c r="F645" i="66" s="1"/>
  <c r="F646" i="66" s="1"/>
  <c r="F647" i="66" s="1"/>
  <c r="F648" i="66" s="1"/>
  <c r="F649" i="66" s="1"/>
  <c r="F650" i="66" s="1"/>
  <c r="F651" i="66" s="1"/>
  <c r="F652" i="66" s="1"/>
  <c r="F653" i="66" s="1"/>
  <c r="F654" i="66" s="1"/>
  <c r="F655" i="66" s="1"/>
  <c r="E635" i="66"/>
  <c r="E636" i="66" s="1"/>
  <c r="E637" i="66" s="1"/>
  <c r="E638" i="66" s="1"/>
  <c r="E639" i="66" s="1"/>
  <c r="E640" i="66" s="1"/>
  <c r="E641" i="66" s="1"/>
  <c r="E642" i="66" s="1"/>
  <c r="E643" i="66" s="1"/>
  <c r="E644" i="66" s="1"/>
  <c r="E645" i="66" s="1"/>
  <c r="E646" i="66" s="1"/>
  <c r="E647" i="66" s="1"/>
  <c r="E648" i="66" s="1"/>
  <c r="E649" i="66" s="1"/>
  <c r="E650" i="66" s="1"/>
  <c r="E651" i="66" s="1"/>
  <c r="E652" i="66" s="1"/>
  <c r="E653" i="66" s="1"/>
  <c r="E654" i="66" s="1"/>
  <c r="E655" i="66" s="1"/>
  <c r="D635" i="66"/>
  <c r="D636" i="66" s="1"/>
  <c r="D637" i="66" s="1"/>
  <c r="D638" i="66" s="1"/>
  <c r="D639" i="66" s="1"/>
  <c r="D640" i="66" s="1"/>
  <c r="D641" i="66" s="1"/>
  <c r="D642" i="66" s="1"/>
  <c r="D643" i="66" s="1"/>
  <c r="D644" i="66" s="1"/>
  <c r="D645" i="66" s="1"/>
  <c r="D646" i="66" s="1"/>
  <c r="D647" i="66" s="1"/>
  <c r="D648" i="66" s="1"/>
  <c r="D649" i="66" s="1"/>
  <c r="D650" i="66" s="1"/>
  <c r="D651" i="66" s="1"/>
  <c r="D652" i="66" s="1"/>
  <c r="D653" i="66" s="1"/>
  <c r="D654" i="66" s="1"/>
  <c r="D655" i="66" s="1"/>
  <c r="C635" i="66"/>
  <c r="C636" i="66" s="1"/>
  <c r="C637" i="66" s="1"/>
  <c r="C638" i="66" s="1"/>
  <c r="C639" i="66" s="1"/>
  <c r="C640" i="66" s="1"/>
  <c r="C641" i="66" s="1"/>
  <c r="C642" i="66" s="1"/>
  <c r="C643" i="66" s="1"/>
  <c r="C644" i="66" s="1"/>
  <c r="C645" i="66" s="1"/>
  <c r="C646" i="66" s="1"/>
  <c r="C647" i="66" s="1"/>
  <c r="C648" i="66" s="1"/>
  <c r="C649" i="66" s="1"/>
  <c r="C650" i="66" s="1"/>
  <c r="C651" i="66" s="1"/>
  <c r="C652" i="66" s="1"/>
  <c r="C653" i="66" s="1"/>
  <c r="C654" i="66" s="1"/>
  <c r="C655" i="66" s="1"/>
  <c r="B635" i="66"/>
  <c r="B636" i="66" s="1"/>
  <c r="B637" i="66" s="1"/>
  <c r="B638" i="66" s="1"/>
  <c r="B639" i="66" s="1"/>
  <c r="B640" i="66" s="1"/>
  <c r="B641" i="66" s="1"/>
  <c r="B642" i="66" s="1"/>
  <c r="B643" i="66" s="1"/>
  <c r="B644" i="66" s="1"/>
  <c r="B645" i="66" s="1"/>
  <c r="B646" i="66" s="1"/>
  <c r="B647" i="66" s="1"/>
  <c r="B648" i="66" s="1"/>
  <c r="B649" i="66" s="1"/>
  <c r="B650" i="66" s="1"/>
  <c r="B651" i="66" s="1"/>
  <c r="B652" i="66" s="1"/>
  <c r="B653" i="66" s="1"/>
  <c r="B654" i="66" s="1"/>
  <c r="B655" i="66" s="1"/>
  <c r="AA634" i="66"/>
  <c r="U634" i="66"/>
  <c r="U635" i="66" s="1"/>
  <c r="U636" i="66" s="1"/>
  <c r="U637" i="66" s="1"/>
  <c r="T634" i="66"/>
  <c r="P634" i="66"/>
  <c r="M634" i="66"/>
  <c r="M635" i="66" s="1"/>
  <c r="M636" i="66" s="1"/>
  <c r="M637" i="66" s="1"/>
  <c r="L634" i="66"/>
  <c r="T608" i="66"/>
  <c r="P608" i="66"/>
  <c r="L608" i="66"/>
  <c r="AA607" i="66"/>
  <c r="T607" i="66"/>
  <c r="P607" i="66"/>
  <c r="L607" i="66"/>
  <c r="AA606" i="66"/>
  <c r="T606" i="66"/>
  <c r="P606" i="66"/>
  <c r="L606" i="66"/>
  <c r="AA605" i="66"/>
  <c r="T605" i="66"/>
  <c r="P605" i="66"/>
  <c r="L605" i="66"/>
  <c r="AA604" i="66"/>
  <c r="T604" i="66"/>
  <c r="P604" i="66"/>
  <c r="L604" i="66"/>
  <c r="AA603" i="66"/>
  <c r="T603" i="66"/>
  <c r="Q603" i="66"/>
  <c r="Q604" i="66" s="1"/>
  <c r="P603" i="66"/>
  <c r="L603" i="66"/>
  <c r="J603" i="66"/>
  <c r="J604" i="66" s="1"/>
  <c r="J605" i="66" s="1"/>
  <c r="J606" i="66" s="1"/>
  <c r="J607" i="66" s="1"/>
  <c r="J608" i="66" s="1"/>
  <c r="J609" i="66" s="1"/>
  <c r="J610" i="66" s="1"/>
  <c r="J611" i="66" s="1"/>
  <c r="J612" i="66" s="1"/>
  <c r="J613" i="66" s="1"/>
  <c r="J614" i="66" s="1"/>
  <c r="J615" i="66" s="1"/>
  <c r="J616" i="66" s="1"/>
  <c r="J617" i="66" s="1"/>
  <c r="J618" i="66" s="1"/>
  <c r="J619" i="66" s="1"/>
  <c r="J620" i="66" s="1"/>
  <c r="J621" i="66" s="1"/>
  <c r="J622" i="66" s="1"/>
  <c r="J623" i="66" s="1"/>
  <c r="J624" i="66" s="1"/>
  <c r="J625" i="66" s="1"/>
  <c r="J626" i="66" s="1"/>
  <c r="J627" i="66" s="1"/>
  <c r="J628" i="66" s="1"/>
  <c r="J629" i="66" s="1"/>
  <c r="J630" i="66" s="1"/>
  <c r="I603" i="66"/>
  <c r="I604" i="66" s="1"/>
  <c r="I605" i="66" s="1"/>
  <c r="I606" i="66" s="1"/>
  <c r="I607" i="66" s="1"/>
  <c r="I608" i="66" s="1"/>
  <c r="I609" i="66" s="1"/>
  <c r="I610" i="66" s="1"/>
  <c r="I611" i="66" s="1"/>
  <c r="I612" i="66" s="1"/>
  <c r="I613" i="66" s="1"/>
  <c r="I614" i="66" s="1"/>
  <c r="I615" i="66" s="1"/>
  <c r="I616" i="66" s="1"/>
  <c r="I617" i="66" s="1"/>
  <c r="I618" i="66" s="1"/>
  <c r="I619" i="66" s="1"/>
  <c r="I620" i="66" s="1"/>
  <c r="I621" i="66" s="1"/>
  <c r="I622" i="66" s="1"/>
  <c r="I623" i="66" s="1"/>
  <c r="I624" i="66" s="1"/>
  <c r="I625" i="66" s="1"/>
  <c r="I626" i="66" s="1"/>
  <c r="I627" i="66" s="1"/>
  <c r="I628" i="66" s="1"/>
  <c r="I629" i="66" s="1"/>
  <c r="I630" i="66" s="1"/>
  <c r="H603" i="66"/>
  <c r="H604" i="66" s="1"/>
  <c r="H605" i="66" s="1"/>
  <c r="H606" i="66" s="1"/>
  <c r="H607" i="66" s="1"/>
  <c r="H608" i="66" s="1"/>
  <c r="H609" i="66" s="1"/>
  <c r="H610" i="66" s="1"/>
  <c r="H611" i="66" s="1"/>
  <c r="H612" i="66" s="1"/>
  <c r="H613" i="66" s="1"/>
  <c r="H614" i="66" s="1"/>
  <c r="H615" i="66" s="1"/>
  <c r="H616" i="66" s="1"/>
  <c r="H617" i="66" s="1"/>
  <c r="H618" i="66" s="1"/>
  <c r="H619" i="66" s="1"/>
  <c r="H620" i="66" s="1"/>
  <c r="H621" i="66" s="1"/>
  <c r="H622" i="66" s="1"/>
  <c r="H623" i="66" s="1"/>
  <c r="H624" i="66" s="1"/>
  <c r="H625" i="66" s="1"/>
  <c r="H626" i="66" s="1"/>
  <c r="H627" i="66" s="1"/>
  <c r="H628" i="66" s="1"/>
  <c r="H629" i="66" s="1"/>
  <c r="H630" i="66" s="1"/>
  <c r="G603" i="66"/>
  <c r="G604" i="66" s="1"/>
  <c r="G605" i="66" s="1"/>
  <c r="G606" i="66" s="1"/>
  <c r="G607" i="66" s="1"/>
  <c r="G608" i="66" s="1"/>
  <c r="G609" i="66" s="1"/>
  <c r="G610" i="66" s="1"/>
  <c r="G611" i="66" s="1"/>
  <c r="G612" i="66" s="1"/>
  <c r="G613" i="66" s="1"/>
  <c r="G614" i="66" s="1"/>
  <c r="G615" i="66" s="1"/>
  <c r="G616" i="66" s="1"/>
  <c r="G617" i="66" s="1"/>
  <c r="G618" i="66" s="1"/>
  <c r="G619" i="66" s="1"/>
  <c r="G620" i="66" s="1"/>
  <c r="G621" i="66" s="1"/>
  <c r="G622" i="66" s="1"/>
  <c r="G623" i="66" s="1"/>
  <c r="G624" i="66" s="1"/>
  <c r="G625" i="66" s="1"/>
  <c r="G626" i="66" s="1"/>
  <c r="G627" i="66" s="1"/>
  <c r="G628" i="66" s="1"/>
  <c r="G629" i="66" s="1"/>
  <c r="G630" i="66" s="1"/>
  <c r="F603" i="66"/>
  <c r="F604" i="66" s="1"/>
  <c r="F605" i="66" s="1"/>
  <c r="F606" i="66" s="1"/>
  <c r="F607" i="66" s="1"/>
  <c r="F608" i="66" s="1"/>
  <c r="F609" i="66" s="1"/>
  <c r="F610" i="66" s="1"/>
  <c r="F611" i="66" s="1"/>
  <c r="F612" i="66" s="1"/>
  <c r="F613" i="66" s="1"/>
  <c r="F614" i="66" s="1"/>
  <c r="F615" i="66" s="1"/>
  <c r="F616" i="66" s="1"/>
  <c r="F617" i="66" s="1"/>
  <c r="F618" i="66" s="1"/>
  <c r="F619" i="66" s="1"/>
  <c r="F620" i="66" s="1"/>
  <c r="F621" i="66" s="1"/>
  <c r="F622" i="66" s="1"/>
  <c r="F623" i="66" s="1"/>
  <c r="F624" i="66" s="1"/>
  <c r="F625" i="66" s="1"/>
  <c r="F626" i="66" s="1"/>
  <c r="F627" i="66" s="1"/>
  <c r="F628" i="66" s="1"/>
  <c r="F629" i="66" s="1"/>
  <c r="F630" i="66" s="1"/>
  <c r="E603" i="66"/>
  <c r="E604" i="66" s="1"/>
  <c r="E605" i="66" s="1"/>
  <c r="E606" i="66" s="1"/>
  <c r="E607" i="66" s="1"/>
  <c r="E608" i="66" s="1"/>
  <c r="E609" i="66" s="1"/>
  <c r="E610" i="66" s="1"/>
  <c r="E611" i="66" s="1"/>
  <c r="E612" i="66" s="1"/>
  <c r="E613" i="66" s="1"/>
  <c r="E614" i="66" s="1"/>
  <c r="E615" i="66" s="1"/>
  <c r="E616" i="66" s="1"/>
  <c r="E617" i="66" s="1"/>
  <c r="E618" i="66" s="1"/>
  <c r="E619" i="66" s="1"/>
  <c r="E620" i="66" s="1"/>
  <c r="E621" i="66" s="1"/>
  <c r="E622" i="66" s="1"/>
  <c r="E623" i="66" s="1"/>
  <c r="E624" i="66" s="1"/>
  <c r="E625" i="66" s="1"/>
  <c r="E626" i="66" s="1"/>
  <c r="E627" i="66" s="1"/>
  <c r="E628" i="66" s="1"/>
  <c r="E629" i="66" s="1"/>
  <c r="E630" i="66" s="1"/>
  <c r="D603" i="66"/>
  <c r="D604" i="66" s="1"/>
  <c r="D605" i="66" s="1"/>
  <c r="D606" i="66" s="1"/>
  <c r="D607" i="66" s="1"/>
  <c r="D608" i="66" s="1"/>
  <c r="D609" i="66" s="1"/>
  <c r="D610" i="66" s="1"/>
  <c r="D611" i="66" s="1"/>
  <c r="D612" i="66" s="1"/>
  <c r="D613" i="66" s="1"/>
  <c r="D614" i="66" s="1"/>
  <c r="D615" i="66" s="1"/>
  <c r="D616" i="66" s="1"/>
  <c r="D617" i="66" s="1"/>
  <c r="D618" i="66" s="1"/>
  <c r="D619" i="66" s="1"/>
  <c r="D620" i="66" s="1"/>
  <c r="D621" i="66" s="1"/>
  <c r="D622" i="66" s="1"/>
  <c r="D623" i="66" s="1"/>
  <c r="D624" i="66" s="1"/>
  <c r="D625" i="66" s="1"/>
  <c r="D626" i="66" s="1"/>
  <c r="D627" i="66" s="1"/>
  <c r="D628" i="66" s="1"/>
  <c r="D629" i="66" s="1"/>
  <c r="D630" i="66" s="1"/>
  <c r="C603" i="66"/>
  <c r="C604" i="66" s="1"/>
  <c r="C605" i="66" s="1"/>
  <c r="C606" i="66" s="1"/>
  <c r="C607" i="66" s="1"/>
  <c r="C608" i="66" s="1"/>
  <c r="C609" i="66" s="1"/>
  <c r="C610" i="66" s="1"/>
  <c r="C611" i="66" s="1"/>
  <c r="C612" i="66" s="1"/>
  <c r="C613" i="66" s="1"/>
  <c r="C614" i="66" s="1"/>
  <c r="C615" i="66" s="1"/>
  <c r="C616" i="66" s="1"/>
  <c r="C617" i="66" s="1"/>
  <c r="C618" i="66" s="1"/>
  <c r="C619" i="66" s="1"/>
  <c r="C620" i="66" s="1"/>
  <c r="C621" i="66" s="1"/>
  <c r="C622" i="66" s="1"/>
  <c r="C623" i="66" s="1"/>
  <c r="C624" i="66" s="1"/>
  <c r="C625" i="66" s="1"/>
  <c r="C626" i="66" s="1"/>
  <c r="C627" i="66" s="1"/>
  <c r="C628" i="66" s="1"/>
  <c r="C629" i="66" s="1"/>
  <c r="C630" i="66" s="1"/>
  <c r="B603" i="66"/>
  <c r="B604" i="66" s="1"/>
  <c r="B605" i="66" s="1"/>
  <c r="B606" i="66" s="1"/>
  <c r="B607" i="66" s="1"/>
  <c r="B608" i="66" s="1"/>
  <c r="B609" i="66" s="1"/>
  <c r="B610" i="66" s="1"/>
  <c r="B611" i="66" s="1"/>
  <c r="B612" i="66" s="1"/>
  <c r="B613" i="66" s="1"/>
  <c r="B614" i="66" s="1"/>
  <c r="B615" i="66" s="1"/>
  <c r="B616" i="66" s="1"/>
  <c r="B617" i="66" s="1"/>
  <c r="B618" i="66" s="1"/>
  <c r="B619" i="66" s="1"/>
  <c r="B620" i="66" s="1"/>
  <c r="B621" i="66" s="1"/>
  <c r="B622" i="66" s="1"/>
  <c r="B623" i="66" s="1"/>
  <c r="B624" i="66" s="1"/>
  <c r="B625" i="66" s="1"/>
  <c r="B626" i="66" s="1"/>
  <c r="B627" i="66" s="1"/>
  <c r="B628" i="66" s="1"/>
  <c r="B629" i="66" s="1"/>
  <c r="B630" i="66" s="1"/>
  <c r="AA602" i="66"/>
  <c r="U602" i="66"/>
  <c r="T602" i="66"/>
  <c r="P602" i="66"/>
  <c r="M602" i="66"/>
  <c r="L602" i="66"/>
  <c r="T574" i="66"/>
  <c r="P574" i="66"/>
  <c r="L574" i="66"/>
  <c r="AA573" i="66"/>
  <c r="T573" i="66"/>
  <c r="P573" i="66"/>
  <c r="L573" i="66"/>
  <c r="AA572" i="66"/>
  <c r="T572" i="66"/>
  <c r="P572" i="66"/>
  <c r="L572" i="66"/>
  <c r="AA571" i="66"/>
  <c r="T571" i="66"/>
  <c r="P571" i="66"/>
  <c r="L571" i="66"/>
  <c r="AA570" i="66"/>
  <c r="T570" i="66"/>
  <c r="P570" i="66"/>
  <c r="L570" i="66"/>
  <c r="AA569" i="66"/>
  <c r="U569" i="66"/>
  <c r="U603" i="66" s="1"/>
  <c r="T569" i="66"/>
  <c r="Q569" i="66"/>
  <c r="Q570" i="66" s="1"/>
  <c r="Q571" i="66" s="1"/>
  <c r="Q572" i="66" s="1"/>
  <c r="P569" i="66"/>
  <c r="M569" i="66"/>
  <c r="M603" i="66" s="1"/>
  <c r="L569" i="66"/>
  <c r="J569" i="66"/>
  <c r="J570" i="66" s="1"/>
  <c r="J571" i="66" s="1"/>
  <c r="J572" i="66" s="1"/>
  <c r="J573" i="66" s="1"/>
  <c r="J574" i="66" s="1"/>
  <c r="J575" i="66" s="1"/>
  <c r="J576" i="66" s="1"/>
  <c r="J577" i="66" s="1"/>
  <c r="J578" i="66" s="1"/>
  <c r="J579" i="66" s="1"/>
  <c r="J580" i="66" s="1"/>
  <c r="J581" i="66" s="1"/>
  <c r="J582" i="66" s="1"/>
  <c r="J583" i="66" s="1"/>
  <c r="J584" i="66" s="1"/>
  <c r="J585" i="66" s="1"/>
  <c r="J586" i="66" s="1"/>
  <c r="J587" i="66" s="1"/>
  <c r="J588" i="66" s="1"/>
  <c r="J589" i="66" s="1"/>
  <c r="J590" i="66" s="1"/>
  <c r="J591" i="66" s="1"/>
  <c r="J592" i="66" s="1"/>
  <c r="J593" i="66" s="1"/>
  <c r="J594" i="66" s="1"/>
  <c r="J595" i="66" s="1"/>
  <c r="J596" i="66" s="1"/>
  <c r="I569" i="66"/>
  <c r="I570" i="66" s="1"/>
  <c r="I571" i="66" s="1"/>
  <c r="I572" i="66" s="1"/>
  <c r="I573" i="66" s="1"/>
  <c r="I574" i="66" s="1"/>
  <c r="I575" i="66" s="1"/>
  <c r="I576" i="66" s="1"/>
  <c r="I577" i="66" s="1"/>
  <c r="I578" i="66" s="1"/>
  <c r="I579" i="66" s="1"/>
  <c r="I580" i="66" s="1"/>
  <c r="I581" i="66" s="1"/>
  <c r="I582" i="66" s="1"/>
  <c r="I583" i="66" s="1"/>
  <c r="I584" i="66" s="1"/>
  <c r="I585" i="66" s="1"/>
  <c r="I586" i="66" s="1"/>
  <c r="I587" i="66" s="1"/>
  <c r="I588" i="66" s="1"/>
  <c r="I589" i="66" s="1"/>
  <c r="I590" i="66" s="1"/>
  <c r="I591" i="66" s="1"/>
  <c r="I592" i="66" s="1"/>
  <c r="I593" i="66" s="1"/>
  <c r="I594" i="66" s="1"/>
  <c r="I595" i="66" s="1"/>
  <c r="I596" i="66" s="1"/>
  <c r="H569" i="66"/>
  <c r="H570" i="66" s="1"/>
  <c r="H571" i="66" s="1"/>
  <c r="H572" i="66" s="1"/>
  <c r="H573" i="66" s="1"/>
  <c r="H574" i="66" s="1"/>
  <c r="H575" i="66" s="1"/>
  <c r="H576" i="66" s="1"/>
  <c r="H577" i="66" s="1"/>
  <c r="H578" i="66" s="1"/>
  <c r="H579" i="66" s="1"/>
  <c r="H580" i="66" s="1"/>
  <c r="H581" i="66" s="1"/>
  <c r="H582" i="66" s="1"/>
  <c r="H583" i="66" s="1"/>
  <c r="H584" i="66" s="1"/>
  <c r="H585" i="66" s="1"/>
  <c r="H586" i="66" s="1"/>
  <c r="H587" i="66" s="1"/>
  <c r="H588" i="66" s="1"/>
  <c r="H589" i="66" s="1"/>
  <c r="H590" i="66" s="1"/>
  <c r="H591" i="66" s="1"/>
  <c r="H592" i="66" s="1"/>
  <c r="H593" i="66" s="1"/>
  <c r="H594" i="66" s="1"/>
  <c r="H595" i="66" s="1"/>
  <c r="H596" i="66" s="1"/>
  <c r="G569" i="66"/>
  <c r="G570" i="66" s="1"/>
  <c r="G571" i="66" s="1"/>
  <c r="G572" i="66" s="1"/>
  <c r="G573" i="66" s="1"/>
  <c r="G574" i="66" s="1"/>
  <c r="G575" i="66" s="1"/>
  <c r="G576" i="66" s="1"/>
  <c r="G577" i="66" s="1"/>
  <c r="G578" i="66" s="1"/>
  <c r="G579" i="66" s="1"/>
  <c r="G580" i="66" s="1"/>
  <c r="G581" i="66" s="1"/>
  <c r="G582" i="66" s="1"/>
  <c r="G583" i="66" s="1"/>
  <c r="G584" i="66" s="1"/>
  <c r="G585" i="66" s="1"/>
  <c r="G586" i="66" s="1"/>
  <c r="G587" i="66" s="1"/>
  <c r="G588" i="66" s="1"/>
  <c r="G589" i="66" s="1"/>
  <c r="G590" i="66" s="1"/>
  <c r="G591" i="66" s="1"/>
  <c r="G592" i="66" s="1"/>
  <c r="G593" i="66" s="1"/>
  <c r="G594" i="66" s="1"/>
  <c r="G595" i="66" s="1"/>
  <c r="G596" i="66" s="1"/>
  <c r="F569" i="66"/>
  <c r="F570" i="66" s="1"/>
  <c r="F571" i="66" s="1"/>
  <c r="F572" i="66" s="1"/>
  <c r="F573" i="66" s="1"/>
  <c r="F574" i="66" s="1"/>
  <c r="F575" i="66" s="1"/>
  <c r="F576" i="66" s="1"/>
  <c r="F577" i="66" s="1"/>
  <c r="F578" i="66" s="1"/>
  <c r="F579" i="66" s="1"/>
  <c r="F580" i="66" s="1"/>
  <c r="F581" i="66" s="1"/>
  <c r="F582" i="66" s="1"/>
  <c r="F583" i="66" s="1"/>
  <c r="F584" i="66" s="1"/>
  <c r="F585" i="66" s="1"/>
  <c r="F586" i="66" s="1"/>
  <c r="F587" i="66" s="1"/>
  <c r="F588" i="66" s="1"/>
  <c r="F589" i="66" s="1"/>
  <c r="F590" i="66" s="1"/>
  <c r="F591" i="66" s="1"/>
  <c r="F592" i="66" s="1"/>
  <c r="F593" i="66" s="1"/>
  <c r="F594" i="66" s="1"/>
  <c r="F595" i="66" s="1"/>
  <c r="F596" i="66" s="1"/>
  <c r="E569" i="66"/>
  <c r="E570" i="66" s="1"/>
  <c r="E571" i="66" s="1"/>
  <c r="E572" i="66" s="1"/>
  <c r="E573" i="66" s="1"/>
  <c r="E574" i="66" s="1"/>
  <c r="E575" i="66" s="1"/>
  <c r="E576" i="66" s="1"/>
  <c r="E577" i="66" s="1"/>
  <c r="E578" i="66" s="1"/>
  <c r="E579" i="66" s="1"/>
  <c r="E580" i="66" s="1"/>
  <c r="E581" i="66" s="1"/>
  <c r="E582" i="66" s="1"/>
  <c r="E583" i="66" s="1"/>
  <c r="E584" i="66" s="1"/>
  <c r="E585" i="66" s="1"/>
  <c r="E586" i="66" s="1"/>
  <c r="E587" i="66" s="1"/>
  <c r="E588" i="66" s="1"/>
  <c r="E589" i="66" s="1"/>
  <c r="E590" i="66" s="1"/>
  <c r="E591" i="66" s="1"/>
  <c r="E592" i="66" s="1"/>
  <c r="E593" i="66" s="1"/>
  <c r="E594" i="66" s="1"/>
  <c r="E595" i="66" s="1"/>
  <c r="E596" i="66" s="1"/>
  <c r="D569" i="66"/>
  <c r="D570" i="66" s="1"/>
  <c r="D571" i="66" s="1"/>
  <c r="D572" i="66" s="1"/>
  <c r="D573" i="66" s="1"/>
  <c r="D574" i="66" s="1"/>
  <c r="D575" i="66" s="1"/>
  <c r="D576" i="66" s="1"/>
  <c r="D577" i="66" s="1"/>
  <c r="D578" i="66" s="1"/>
  <c r="D579" i="66" s="1"/>
  <c r="D580" i="66" s="1"/>
  <c r="D581" i="66" s="1"/>
  <c r="D582" i="66" s="1"/>
  <c r="D583" i="66" s="1"/>
  <c r="D584" i="66" s="1"/>
  <c r="D585" i="66" s="1"/>
  <c r="D586" i="66" s="1"/>
  <c r="D587" i="66" s="1"/>
  <c r="D588" i="66" s="1"/>
  <c r="D589" i="66" s="1"/>
  <c r="D590" i="66" s="1"/>
  <c r="D591" i="66" s="1"/>
  <c r="D592" i="66" s="1"/>
  <c r="D593" i="66" s="1"/>
  <c r="D594" i="66" s="1"/>
  <c r="D595" i="66" s="1"/>
  <c r="D596" i="66" s="1"/>
  <c r="C569" i="66"/>
  <c r="C570" i="66" s="1"/>
  <c r="C571" i="66" s="1"/>
  <c r="C572" i="66" s="1"/>
  <c r="C573" i="66" s="1"/>
  <c r="C574" i="66" s="1"/>
  <c r="C575" i="66" s="1"/>
  <c r="C576" i="66" s="1"/>
  <c r="C577" i="66" s="1"/>
  <c r="C578" i="66" s="1"/>
  <c r="C579" i="66" s="1"/>
  <c r="C580" i="66" s="1"/>
  <c r="C581" i="66" s="1"/>
  <c r="C582" i="66" s="1"/>
  <c r="C583" i="66" s="1"/>
  <c r="C584" i="66" s="1"/>
  <c r="C585" i="66" s="1"/>
  <c r="C586" i="66" s="1"/>
  <c r="C587" i="66" s="1"/>
  <c r="C588" i="66" s="1"/>
  <c r="C589" i="66" s="1"/>
  <c r="C590" i="66" s="1"/>
  <c r="C591" i="66" s="1"/>
  <c r="C592" i="66" s="1"/>
  <c r="C593" i="66" s="1"/>
  <c r="C594" i="66" s="1"/>
  <c r="C595" i="66" s="1"/>
  <c r="C596" i="66" s="1"/>
  <c r="B569" i="66"/>
  <c r="B570" i="66" s="1"/>
  <c r="B571" i="66" s="1"/>
  <c r="B572" i="66" s="1"/>
  <c r="B573" i="66" s="1"/>
  <c r="B574" i="66" s="1"/>
  <c r="B575" i="66" s="1"/>
  <c r="B576" i="66" s="1"/>
  <c r="B577" i="66" s="1"/>
  <c r="B578" i="66" s="1"/>
  <c r="B579" i="66" s="1"/>
  <c r="B580" i="66" s="1"/>
  <c r="B581" i="66" s="1"/>
  <c r="B582" i="66" s="1"/>
  <c r="B583" i="66" s="1"/>
  <c r="B584" i="66" s="1"/>
  <c r="B585" i="66" s="1"/>
  <c r="B586" i="66" s="1"/>
  <c r="B587" i="66" s="1"/>
  <c r="B588" i="66" s="1"/>
  <c r="B589" i="66" s="1"/>
  <c r="B590" i="66" s="1"/>
  <c r="B591" i="66" s="1"/>
  <c r="B592" i="66" s="1"/>
  <c r="B593" i="66" s="1"/>
  <c r="B594" i="66" s="1"/>
  <c r="B595" i="66" s="1"/>
  <c r="B596" i="66" s="1"/>
  <c r="AA568" i="66"/>
  <c r="U568" i="66"/>
  <c r="T568" i="66"/>
  <c r="P568" i="66"/>
  <c r="M568" i="66"/>
  <c r="L568" i="66"/>
  <c r="U541" i="66"/>
  <c r="U542" i="66" s="1"/>
  <c r="T541" i="66"/>
  <c r="P541" i="66"/>
  <c r="M541" i="66"/>
  <c r="M542" i="66" s="1"/>
  <c r="L541" i="66"/>
  <c r="AA540" i="66"/>
  <c r="T540" i="66"/>
  <c r="P540" i="66"/>
  <c r="L540" i="66"/>
  <c r="AA539" i="66"/>
  <c r="U539" i="66"/>
  <c r="U540" i="66" s="1"/>
  <c r="T539" i="66"/>
  <c r="P539" i="66"/>
  <c r="M539" i="66"/>
  <c r="M540" i="66" s="1"/>
  <c r="L539" i="66"/>
  <c r="AA538" i="66"/>
  <c r="T538" i="66"/>
  <c r="P538" i="66"/>
  <c r="L538" i="66"/>
  <c r="AA537" i="66"/>
  <c r="U537" i="66"/>
  <c r="U538" i="66" s="1"/>
  <c r="M537" i="66"/>
  <c r="M538" i="66" s="1"/>
  <c r="AA536" i="66"/>
  <c r="U536" i="66"/>
  <c r="T536" i="66"/>
  <c r="Q536" i="66"/>
  <c r="Q537" i="66" s="1"/>
  <c r="Q538" i="66" s="1"/>
  <c r="Q539" i="66" s="1"/>
  <c r="Q540" i="66" s="1"/>
  <c r="Q541" i="66" s="1"/>
  <c r="Q542" i="66" s="1"/>
  <c r="P536" i="66"/>
  <c r="M536" i="66"/>
  <c r="L536" i="66"/>
  <c r="J536" i="66"/>
  <c r="J537" i="66" s="1"/>
  <c r="J538" i="66" s="1"/>
  <c r="J539" i="66" s="1"/>
  <c r="J540" i="66" s="1"/>
  <c r="J541" i="66" s="1"/>
  <c r="J542" i="66" s="1"/>
  <c r="J543" i="66" s="1"/>
  <c r="J544" i="66" s="1"/>
  <c r="J545" i="66" s="1"/>
  <c r="J546" i="66" s="1"/>
  <c r="J547" i="66" s="1"/>
  <c r="J548" i="66" s="1"/>
  <c r="J549" i="66" s="1"/>
  <c r="J550" i="66" s="1"/>
  <c r="J551" i="66" s="1"/>
  <c r="J552" i="66" s="1"/>
  <c r="J553" i="66" s="1"/>
  <c r="J554" i="66" s="1"/>
  <c r="J555" i="66" s="1"/>
  <c r="J556" i="66" s="1"/>
  <c r="J557" i="66" s="1"/>
  <c r="J558" i="66" s="1"/>
  <c r="J559" i="66" s="1"/>
  <c r="J560" i="66" s="1"/>
  <c r="J561" i="66" s="1"/>
  <c r="J562" i="66" s="1"/>
  <c r="J563" i="66" s="1"/>
  <c r="I536" i="66"/>
  <c r="I537" i="66" s="1"/>
  <c r="I538" i="66" s="1"/>
  <c r="I539" i="66" s="1"/>
  <c r="I540" i="66" s="1"/>
  <c r="I541" i="66" s="1"/>
  <c r="I542" i="66" s="1"/>
  <c r="I543" i="66" s="1"/>
  <c r="I544" i="66" s="1"/>
  <c r="I545" i="66" s="1"/>
  <c r="I546" i="66" s="1"/>
  <c r="I547" i="66" s="1"/>
  <c r="I548" i="66" s="1"/>
  <c r="I549" i="66" s="1"/>
  <c r="I550" i="66" s="1"/>
  <c r="I551" i="66" s="1"/>
  <c r="I552" i="66" s="1"/>
  <c r="I553" i="66" s="1"/>
  <c r="I554" i="66" s="1"/>
  <c r="I555" i="66" s="1"/>
  <c r="I556" i="66" s="1"/>
  <c r="I557" i="66" s="1"/>
  <c r="I558" i="66" s="1"/>
  <c r="I559" i="66" s="1"/>
  <c r="I560" i="66" s="1"/>
  <c r="I561" i="66" s="1"/>
  <c r="I562" i="66" s="1"/>
  <c r="I563" i="66" s="1"/>
  <c r="H536" i="66"/>
  <c r="H537" i="66" s="1"/>
  <c r="H538" i="66" s="1"/>
  <c r="H539" i="66" s="1"/>
  <c r="H540" i="66" s="1"/>
  <c r="H541" i="66" s="1"/>
  <c r="H542" i="66" s="1"/>
  <c r="H543" i="66" s="1"/>
  <c r="H544" i="66" s="1"/>
  <c r="H545" i="66" s="1"/>
  <c r="H546" i="66" s="1"/>
  <c r="H547" i="66" s="1"/>
  <c r="H548" i="66" s="1"/>
  <c r="H549" i="66" s="1"/>
  <c r="H550" i="66" s="1"/>
  <c r="H551" i="66" s="1"/>
  <c r="H552" i="66" s="1"/>
  <c r="H553" i="66" s="1"/>
  <c r="H554" i="66" s="1"/>
  <c r="H555" i="66" s="1"/>
  <c r="H556" i="66" s="1"/>
  <c r="H557" i="66" s="1"/>
  <c r="H558" i="66" s="1"/>
  <c r="H559" i="66" s="1"/>
  <c r="H560" i="66" s="1"/>
  <c r="H561" i="66" s="1"/>
  <c r="H562" i="66" s="1"/>
  <c r="H563" i="66" s="1"/>
  <c r="G536" i="66"/>
  <c r="G537" i="66" s="1"/>
  <c r="G538" i="66" s="1"/>
  <c r="G539" i="66" s="1"/>
  <c r="G540" i="66" s="1"/>
  <c r="G541" i="66" s="1"/>
  <c r="G542" i="66" s="1"/>
  <c r="G543" i="66" s="1"/>
  <c r="G544" i="66" s="1"/>
  <c r="G545" i="66" s="1"/>
  <c r="G546" i="66" s="1"/>
  <c r="G547" i="66" s="1"/>
  <c r="G548" i="66" s="1"/>
  <c r="G549" i="66" s="1"/>
  <c r="G550" i="66" s="1"/>
  <c r="G551" i="66" s="1"/>
  <c r="G552" i="66" s="1"/>
  <c r="G553" i="66" s="1"/>
  <c r="G554" i="66" s="1"/>
  <c r="G555" i="66" s="1"/>
  <c r="G556" i="66" s="1"/>
  <c r="G557" i="66" s="1"/>
  <c r="G558" i="66" s="1"/>
  <c r="G559" i="66" s="1"/>
  <c r="G560" i="66" s="1"/>
  <c r="G561" i="66" s="1"/>
  <c r="G562" i="66" s="1"/>
  <c r="G563" i="66" s="1"/>
  <c r="F536" i="66"/>
  <c r="F537" i="66" s="1"/>
  <c r="F538" i="66" s="1"/>
  <c r="F539" i="66" s="1"/>
  <c r="F540" i="66" s="1"/>
  <c r="F541" i="66" s="1"/>
  <c r="F542" i="66" s="1"/>
  <c r="F543" i="66" s="1"/>
  <c r="F544" i="66" s="1"/>
  <c r="F545" i="66" s="1"/>
  <c r="F546" i="66" s="1"/>
  <c r="F547" i="66" s="1"/>
  <c r="F548" i="66" s="1"/>
  <c r="F549" i="66" s="1"/>
  <c r="F550" i="66" s="1"/>
  <c r="F551" i="66" s="1"/>
  <c r="F552" i="66" s="1"/>
  <c r="F553" i="66" s="1"/>
  <c r="F554" i="66" s="1"/>
  <c r="F555" i="66" s="1"/>
  <c r="F556" i="66" s="1"/>
  <c r="F557" i="66" s="1"/>
  <c r="F558" i="66" s="1"/>
  <c r="F559" i="66" s="1"/>
  <c r="F560" i="66" s="1"/>
  <c r="F561" i="66" s="1"/>
  <c r="F562" i="66" s="1"/>
  <c r="F563" i="66" s="1"/>
  <c r="E536" i="66"/>
  <c r="E537" i="66" s="1"/>
  <c r="E538" i="66" s="1"/>
  <c r="E539" i="66" s="1"/>
  <c r="E540" i="66" s="1"/>
  <c r="E541" i="66" s="1"/>
  <c r="E542" i="66" s="1"/>
  <c r="E543" i="66" s="1"/>
  <c r="E544" i="66" s="1"/>
  <c r="E545" i="66" s="1"/>
  <c r="E546" i="66" s="1"/>
  <c r="E547" i="66" s="1"/>
  <c r="E548" i="66" s="1"/>
  <c r="E549" i="66" s="1"/>
  <c r="E550" i="66" s="1"/>
  <c r="E551" i="66" s="1"/>
  <c r="E552" i="66" s="1"/>
  <c r="E553" i="66" s="1"/>
  <c r="E554" i="66" s="1"/>
  <c r="E555" i="66" s="1"/>
  <c r="E556" i="66" s="1"/>
  <c r="E557" i="66" s="1"/>
  <c r="E558" i="66" s="1"/>
  <c r="E559" i="66" s="1"/>
  <c r="E560" i="66" s="1"/>
  <c r="E561" i="66" s="1"/>
  <c r="E562" i="66" s="1"/>
  <c r="E563" i="66" s="1"/>
  <c r="D536" i="66"/>
  <c r="D537" i="66" s="1"/>
  <c r="D538" i="66" s="1"/>
  <c r="D539" i="66" s="1"/>
  <c r="D540" i="66" s="1"/>
  <c r="D541" i="66" s="1"/>
  <c r="D542" i="66" s="1"/>
  <c r="D543" i="66" s="1"/>
  <c r="D544" i="66" s="1"/>
  <c r="D545" i="66" s="1"/>
  <c r="D546" i="66" s="1"/>
  <c r="D547" i="66" s="1"/>
  <c r="D548" i="66" s="1"/>
  <c r="D549" i="66" s="1"/>
  <c r="D550" i="66" s="1"/>
  <c r="D551" i="66" s="1"/>
  <c r="D552" i="66" s="1"/>
  <c r="D553" i="66" s="1"/>
  <c r="D554" i="66" s="1"/>
  <c r="D555" i="66" s="1"/>
  <c r="D556" i="66" s="1"/>
  <c r="D557" i="66" s="1"/>
  <c r="D558" i="66" s="1"/>
  <c r="D559" i="66" s="1"/>
  <c r="D560" i="66" s="1"/>
  <c r="D561" i="66" s="1"/>
  <c r="D562" i="66" s="1"/>
  <c r="D563" i="66" s="1"/>
  <c r="C536" i="66"/>
  <c r="C537" i="66" s="1"/>
  <c r="C538" i="66" s="1"/>
  <c r="C539" i="66" s="1"/>
  <c r="C540" i="66" s="1"/>
  <c r="C541" i="66" s="1"/>
  <c r="C542" i="66" s="1"/>
  <c r="C543" i="66" s="1"/>
  <c r="C544" i="66" s="1"/>
  <c r="C545" i="66" s="1"/>
  <c r="C546" i="66" s="1"/>
  <c r="C547" i="66" s="1"/>
  <c r="C548" i="66" s="1"/>
  <c r="C549" i="66" s="1"/>
  <c r="C550" i="66" s="1"/>
  <c r="C551" i="66" s="1"/>
  <c r="C552" i="66" s="1"/>
  <c r="C553" i="66" s="1"/>
  <c r="C554" i="66" s="1"/>
  <c r="C555" i="66" s="1"/>
  <c r="C556" i="66" s="1"/>
  <c r="C557" i="66" s="1"/>
  <c r="C558" i="66" s="1"/>
  <c r="C559" i="66" s="1"/>
  <c r="C560" i="66" s="1"/>
  <c r="C561" i="66" s="1"/>
  <c r="C562" i="66" s="1"/>
  <c r="C563" i="66" s="1"/>
  <c r="B536" i="66"/>
  <c r="B537" i="66" s="1"/>
  <c r="B538" i="66" s="1"/>
  <c r="B539" i="66" s="1"/>
  <c r="B540" i="66" s="1"/>
  <c r="B541" i="66" s="1"/>
  <c r="B542" i="66" s="1"/>
  <c r="B543" i="66" s="1"/>
  <c r="B544" i="66" s="1"/>
  <c r="B545" i="66" s="1"/>
  <c r="B546" i="66" s="1"/>
  <c r="B547" i="66" s="1"/>
  <c r="B548" i="66" s="1"/>
  <c r="B549" i="66" s="1"/>
  <c r="B550" i="66" s="1"/>
  <c r="B551" i="66" s="1"/>
  <c r="B552" i="66" s="1"/>
  <c r="B553" i="66" s="1"/>
  <c r="B554" i="66" s="1"/>
  <c r="B555" i="66" s="1"/>
  <c r="B556" i="66" s="1"/>
  <c r="B557" i="66" s="1"/>
  <c r="B558" i="66" s="1"/>
  <c r="B559" i="66" s="1"/>
  <c r="B560" i="66" s="1"/>
  <c r="B561" i="66" s="1"/>
  <c r="B562" i="66" s="1"/>
  <c r="B563" i="66" s="1"/>
  <c r="AA535" i="66"/>
  <c r="U535" i="66"/>
  <c r="T535" i="66"/>
  <c r="P535" i="66"/>
  <c r="M535" i="66"/>
  <c r="L535" i="66"/>
  <c r="U507" i="66"/>
  <c r="T507" i="66"/>
  <c r="S507" i="66"/>
  <c r="P507" i="66"/>
  <c r="O507" i="66"/>
  <c r="L507" i="66"/>
  <c r="AA506" i="66"/>
  <c r="P506" i="66"/>
  <c r="O506" i="66"/>
  <c r="M506" i="66"/>
  <c r="M507" i="66" s="1"/>
  <c r="M508" i="66" s="1"/>
  <c r="L506" i="66"/>
  <c r="AA505" i="66"/>
  <c r="P505" i="66"/>
  <c r="O505" i="66"/>
  <c r="L505" i="66"/>
  <c r="AA504" i="66"/>
  <c r="P504" i="66"/>
  <c r="O504" i="66"/>
  <c r="M504" i="66"/>
  <c r="L504" i="66"/>
  <c r="AA503" i="66"/>
  <c r="P503" i="66"/>
  <c r="O503" i="66"/>
  <c r="M503" i="66"/>
  <c r="AA502" i="66"/>
  <c r="U502" i="66"/>
  <c r="T502" i="66"/>
  <c r="Q502" i="66"/>
  <c r="Q507" i="66" s="1"/>
  <c r="Q512" i="66" s="1"/>
  <c r="P502" i="66"/>
  <c r="M502" i="66"/>
  <c r="L502" i="66"/>
  <c r="J502" i="66"/>
  <c r="J503" i="66" s="1"/>
  <c r="J504" i="66" s="1"/>
  <c r="J505" i="66" s="1"/>
  <c r="J506" i="66" s="1"/>
  <c r="J507" i="66" s="1"/>
  <c r="J508" i="66" s="1"/>
  <c r="J509" i="66" s="1"/>
  <c r="J510" i="66" s="1"/>
  <c r="J511" i="66" s="1"/>
  <c r="J512" i="66" s="1"/>
  <c r="J513" i="66" s="1"/>
  <c r="J514" i="66" s="1"/>
  <c r="J515" i="66" s="1"/>
  <c r="J516" i="66" s="1"/>
  <c r="J517" i="66" s="1"/>
  <c r="J518" i="66" s="1"/>
  <c r="J519" i="66" s="1"/>
  <c r="J520" i="66" s="1"/>
  <c r="J521" i="66" s="1"/>
  <c r="J522" i="66" s="1"/>
  <c r="J523" i="66" s="1"/>
  <c r="J524" i="66" s="1"/>
  <c r="J525" i="66" s="1"/>
  <c r="J526" i="66" s="1"/>
  <c r="J527" i="66" s="1"/>
  <c r="J528" i="66" s="1"/>
  <c r="J529" i="66" s="1"/>
  <c r="I502" i="66"/>
  <c r="I503" i="66" s="1"/>
  <c r="I504" i="66" s="1"/>
  <c r="I505" i="66" s="1"/>
  <c r="I506" i="66" s="1"/>
  <c r="I507" i="66" s="1"/>
  <c r="I508" i="66" s="1"/>
  <c r="H502" i="66"/>
  <c r="H503" i="66" s="1"/>
  <c r="H504" i="66" s="1"/>
  <c r="H505" i="66" s="1"/>
  <c r="H506" i="66" s="1"/>
  <c r="H507" i="66" s="1"/>
  <c r="H508" i="66" s="1"/>
  <c r="H509" i="66" s="1"/>
  <c r="H510" i="66" s="1"/>
  <c r="H511" i="66" s="1"/>
  <c r="H512" i="66" s="1"/>
  <c r="H513" i="66" s="1"/>
  <c r="H514" i="66" s="1"/>
  <c r="H515" i="66" s="1"/>
  <c r="H516" i="66" s="1"/>
  <c r="H517" i="66" s="1"/>
  <c r="H518" i="66" s="1"/>
  <c r="H519" i="66" s="1"/>
  <c r="H520" i="66" s="1"/>
  <c r="H521" i="66" s="1"/>
  <c r="H522" i="66" s="1"/>
  <c r="H523" i="66" s="1"/>
  <c r="H524" i="66" s="1"/>
  <c r="H525" i="66" s="1"/>
  <c r="H526" i="66" s="1"/>
  <c r="H527" i="66" s="1"/>
  <c r="H528" i="66" s="1"/>
  <c r="H529" i="66" s="1"/>
  <c r="G502" i="66"/>
  <c r="G503" i="66" s="1"/>
  <c r="G504" i="66" s="1"/>
  <c r="G505" i="66" s="1"/>
  <c r="G506" i="66" s="1"/>
  <c r="G507" i="66" s="1"/>
  <c r="G508" i="66" s="1"/>
  <c r="G509" i="66" s="1"/>
  <c r="G510" i="66" s="1"/>
  <c r="G511" i="66" s="1"/>
  <c r="G512" i="66" s="1"/>
  <c r="G513" i="66" s="1"/>
  <c r="G514" i="66" s="1"/>
  <c r="G515" i="66" s="1"/>
  <c r="G516" i="66" s="1"/>
  <c r="G517" i="66" s="1"/>
  <c r="G518" i="66" s="1"/>
  <c r="G519" i="66" s="1"/>
  <c r="G520" i="66" s="1"/>
  <c r="G521" i="66" s="1"/>
  <c r="G522" i="66" s="1"/>
  <c r="G523" i="66" s="1"/>
  <c r="G524" i="66" s="1"/>
  <c r="G525" i="66" s="1"/>
  <c r="G526" i="66" s="1"/>
  <c r="G527" i="66" s="1"/>
  <c r="G528" i="66" s="1"/>
  <c r="G529" i="66" s="1"/>
  <c r="F502" i="66"/>
  <c r="F503" i="66" s="1"/>
  <c r="F504" i="66" s="1"/>
  <c r="F505" i="66" s="1"/>
  <c r="F506" i="66" s="1"/>
  <c r="F507" i="66" s="1"/>
  <c r="F508" i="66" s="1"/>
  <c r="F509" i="66" s="1"/>
  <c r="F510" i="66" s="1"/>
  <c r="F511" i="66" s="1"/>
  <c r="F512" i="66" s="1"/>
  <c r="F513" i="66" s="1"/>
  <c r="F514" i="66" s="1"/>
  <c r="F515" i="66" s="1"/>
  <c r="F516" i="66" s="1"/>
  <c r="F517" i="66" s="1"/>
  <c r="F518" i="66" s="1"/>
  <c r="F519" i="66" s="1"/>
  <c r="F520" i="66" s="1"/>
  <c r="F521" i="66" s="1"/>
  <c r="F522" i="66" s="1"/>
  <c r="F523" i="66" s="1"/>
  <c r="F524" i="66" s="1"/>
  <c r="F525" i="66" s="1"/>
  <c r="F526" i="66" s="1"/>
  <c r="F527" i="66" s="1"/>
  <c r="F528" i="66" s="1"/>
  <c r="F529" i="66" s="1"/>
  <c r="E502" i="66"/>
  <c r="E503" i="66" s="1"/>
  <c r="E504" i="66" s="1"/>
  <c r="E505" i="66" s="1"/>
  <c r="E506" i="66" s="1"/>
  <c r="E507" i="66" s="1"/>
  <c r="E508" i="66" s="1"/>
  <c r="E509" i="66" s="1"/>
  <c r="E510" i="66" s="1"/>
  <c r="E511" i="66" s="1"/>
  <c r="E512" i="66" s="1"/>
  <c r="E513" i="66" s="1"/>
  <c r="E514" i="66" s="1"/>
  <c r="E515" i="66" s="1"/>
  <c r="E516" i="66" s="1"/>
  <c r="E517" i="66" s="1"/>
  <c r="E518" i="66" s="1"/>
  <c r="E519" i="66" s="1"/>
  <c r="E520" i="66" s="1"/>
  <c r="E521" i="66" s="1"/>
  <c r="E522" i="66" s="1"/>
  <c r="E523" i="66" s="1"/>
  <c r="E524" i="66" s="1"/>
  <c r="E525" i="66" s="1"/>
  <c r="E526" i="66" s="1"/>
  <c r="E527" i="66" s="1"/>
  <c r="E528" i="66" s="1"/>
  <c r="E529" i="66" s="1"/>
  <c r="D502" i="66"/>
  <c r="D503" i="66" s="1"/>
  <c r="D504" i="66" s="1"/>
  <c r="D505" i="66" s="1"/>
  <c r="D506" i="66" s="1"/>
  <c r="D507" i="66" s="1"/>
  <c r="D508" i="66" s="1"/>
  <c r="D509" i="66" s="1"/>
  <c r="D510" i="66" s="1"/>
  <c r="D511" i="66" s="1"/>
  <c r="D512" i="66" s="1"/>
  <c r="D513" i="66" s="1"/>
  <c r="D514" i="66" s="1"/>
  <c r="D515" i="66" s="1"/>
  <c r="D516" i="66" s="1"/>
  <c r="D517" i="66" s="1"/>
  <c r="D518" i="66" s="1"/>
  <c r="D519" i="66" s="1"/>
  <c r="D520" i="66" s="1"/>
  <c r="D521" i="66" s="1"/>
  <c r="D522" i="66" s="1"/>
  <c r="D523" i="66" s="1"/>
  <c r="D524" i="66" s="1"/>
  <c r="D525" i="66" s="1"/>
  <c r="D526" i="66" s="1"/>
  <c r="D527" i="66" s="1"/>
  <c r="D528" i="66" s="1"/>
  <c r="D529" i="66" s="1"/>
  <c r="C502" i="66"/>
  <c r="C503" i="66" s="1"/>
  <c r="C504" i="66" s="1"/>
  <c r="C505" i="66" s="1"/>
  <c r="C506" i="66" s="1"/>
  <c r="C507" i="66" s="1"/>
  <c r="C508" i="66" s="1"/>
  <c r="C509" i="66" s="1"/>
  <c r="C510" i="66" s="1"/>
  <c r="C511" i="66" s="1"/>
  <c r="C512" i="66" s="1"/>
  <c r="C513" i="66" s="1"/>
  <c r="C514" i="66" s="1"/>
  <c r="C515" i="66" s="1"/>
  <c r="C516" i="66" s="1"/>
  <c r="C517" i="66" s="1"/>
  <c r="C518" i="66" s="1"/>
  <c r="C519" i="66" s="1"/>
  <c r="C520" i="66" s="1"/>
  <c r="C521" i="66" s="1"/>
  <c r="C522" i="66" s="1"/>
  <c r="C523" i="66" s="1"/>
  <c r="C524" i="66" s="1"/>
  <c r="C525" i="66" s="1"/>
  <c r="C526" i="66" s="1"/>
  <c r="C527" i="66" s="1"/>
  <c r="C528" i="66" s="1"/>
  <c r="C529" i="66" s="1"/>
  <c r="B502" i="66"/>
  <c r="B503" i="66" s="1"/>
  <c r="B504" i="66" s="1"/>
  <c r="B505" i="66" s="1"/>
  <c r="B506" i="66" s="1"/>
  <c r="B507" i="66" s="1"/>
  <c r="B508" i="66" s="1"/>
  <c r="B509" i="66" s="1"/>
  <c r="B510" i="66" s="1"/>
  <c r="B511" i="66" s="1"/>
  <c r="B512" i="66" s="1"/>
  <c r="B513" i="66" s="1"/>
  <c r="B514" i="66" s="1"/>
  <c r="B515" i="66" s="1"/>
  <c r="B516" i="66" s="1"/>
  <c r="B517" i="66" s="1"/>
  <c r="B518" i="66" s="1"/>
  <c r="B519" i="66" s="1"/>
  <c r="B520" i="66" s="1"/>
  <c r="B521" i="66" s="1"/>
  <c r="B522" i="66" s="1"/>
  <c r="B523" i="66" s="1"/>
  <c r="B524" i="66" s="1"/>
  <c r="B525" i="66" s="1"/>
  <c r="B526" i="66" s="1"/>
  <c r="B527" i="66" s="1"/>
  <c r="B528" i="66" s="1"/>
  <c r="B529" i="66" s="1"/>
  <c r="AA501" i="66"/>
  <c r="U501" i="66"/>
  <c r="T501" i="66"/>
  <c r="P501" i="66"/>
  <c r="M501" i="66"/>
  <c r="L501" i="66"/>
  <c r="P475" i="66"/>
  <c r="L475" i="66"/>
  <c r="AA474" i="66"/>
  <c r="P474" i="66"/>
  <c r="AA473" i="66"/>
  <c r="T473" i="66"/>
  <c r="P473" i="66"/>
  <c r="AA472" i="66"/>
  <c r="T472" i="66"/>
  <c r="P472" i="66"/>
  <c r="L472" i="66"/>
  <c r="AA471" i="66"/>
  <c r="AA470" i="66"/>
  <c r="U470" i="66"/>
  <c r="U471" i="66" s="1"/>
  <c r="U472" i="66" s="1"/>
  <c r="U473" i="66" s="1"/>
  <c r="U474" i="66" s="1"/>
  <c r="U475" i="66" s="1"/>
  <c r="U476" i="66" s="1"/>
  <c r="T470" i="66"/>
  <c r="Q470" i="66"/>
  <c r="Q471" i="66" s="1"/>
  <c r="Q472" i="66" s="1"/>
  <c r="P470" i="66"/>
  <c r="M470" i="66"/>
  <c r="M471" i="66" s="1"/>
  <c r="M472" i="66" s="1"/>
  <c r="M473" i="66" s="1"/>
  <c r="M474" i="66" s="1"/>
  <c r="M475" i="66" s="1"/>
  <c r="M476" i="66" s="1"/>
  <c r="L470" i="66"/>
  <c r="J470" i="66"/>
  <c r="J471" i="66" s="1"/>
  <c r="J472" i="66" s="1"/>
  <c r="J473" i="66" s="1"/>
  <c r="J474" i="66" s="1"/>
  <c r="J475" i="66" s="1"/>
  <c r="J476" i="66" s="1"/>
  <c r="J477" i="66" s="1"/>
  <c r="J478" i="66" s="1"/>
  <c r="J479" i="66" s="1"/>
  <c r="J480" i="66" s="1"/>
  <c r="J481" i="66" s="1"/>
  <c r="J482" i="66" s="1"/>
  <c r="J483" i="66" s="1"/>
  <c r="J484" i="66" s="1"/>
  <c r="J485" i="66" s="1"/>
  <c r="J486" i="66" s="1"/>
  <c r="J487" i="66" s="1"/>
  <c r="J488" i="66" s="1"/>
  <c r="J489" i="66" s="1"/>
  <c r="J490" i="66" s="1"/>
  <c r="J491" i="66" s="1"/>
  <c r="J492" i="66" s="1"/>
  <c r="J493" i="66" s="1"/>
  <c r="J494" i="66" s="1"/>
  <c r="J495" i="66" s="1"/>
  <c r="J496" i="66" s="1"/>
  <c r="J497" i="66" s="1"/>
  <c r="J498" i="66" s="1"/>
  <c r="I470" i="66"/>
  <c r="I471" i="66" s="1"/>
  <c r="I472" i="66" s="1"/>
  <c r="I473" i="66" s="1"/>
  <c r="I474" i="66" s="1"/>
  <c r="I475" i="66" s="1"/>
  <c r="I476" i="66" s="1"/>
  <c r="I477" i="66" s="1"/>
  <c r="I478" i="66" s="1"/>
  <c r="I479" i="66" s="1"/>
  <c r="I480" i="66" s="1"/>
  <c r="I481" i="66" s="1"/>
  <c r="I482" i="66" s="1"/>
  <c r="I483" i="66" s="1"/>
  <c r="I484" i="66" s="1"/>
  <c r="I485" i="66" s="1"/>
  <c r="I486" i="66" s="1"/>
  <c r="I487" i="66" s="1"/>
  <c r="I488" i="66" s="1"/>
  <c r="I489" i="66" s="1"/>
  <c r="I490" i="66" s="1"/>
  <c r="I491" i="66" s="1"/>
  <c r="I492" i="66" s="1"/>
  <c r="I493" i="66" s="1"/>
  <c r="I494" i="66" s="1"/>
  <c r="I495" i="66" s="1"/>
  <c r="I496" i="66" s="1"/>
  <c r="I497" i="66" s="1"/>
  <c r="I498" i="66" s="1"/>
  <c r="H470" i="66"/>
  <c r="H471" i="66" s="1"/>
  <c r="H472" i="66" s="1"/>
  <c r="H473" i="66" s="1"/>
  <c r="H474" i="66" s="1"/>
  <c r="H475" i="66" s="1"/>
  <c r="H476" i="66" s="1"/>
  <c r="H477" i="66" s="1"/>
  <c r="H478" i="66" s="1"/>
  <c r="H479" i="66" s="1"/>
  <c r="H480" i="66" s="1"/>
  <c r="H481" i="66" s="1"/>
  <c r="H482" i="66" s="1"/>
  <c r="H483" i="66" s="1"/>
  <c r="H484" i="66" s="1"/>
  <c r="H485" i="66" s="1"/>
  <c r="H486" i="66" s="1"/>
  <c r="H487" i="66" s="1"/>
  <c r="H488" i="66" s="1"/>
  <c r="H489" i="66" s="1"/>
  <c r="H490" i="66" s="1"/>
  <c r="H491" i="66" s="1"/>
  <c r="H492" i="66" s="1"/>
  <c r="H493" i="66" s="1"/>
  <c r="H494" i="66" s="1"/>
  <c r="H495" i="66" s="1"/>
  <c r="H496" i="66" s="1"/>
  <c r="H497" i="66" s="1"/>
  <c r="H498" i="66" s="1"/>
  <c r="G470" i="66"/>
  <c r="G471" i="66" s="1"/>
  <c r="G472" i="66" s="1"/>
  <c r="G473" i="66" s="1"/>
  <c r="G474" i="66" s="1"/>
  <c r="G475" i="66" s="1"/>
  <c r="G476" i="66" s="1"/>
  <c r="G477" i="66" s="1"/>
  <c r="G478" i="66" s="1"/>
  <c r="G479" i="66" s="1"/>
  <c r="G480" i="66" s="1"/>
  <c r="G481" i="66" s="1"/>
  <c r="G482" i="66" s="1"/>
  <c r="G483" i="66" s="1"/>
  <c r="G484" i="66" s="1"/>
  <c r="G485" i="66" s="1"/>
  <c r="G486" i="66" s="1"/>
  <c r="G487" i="66" s="1"/>
  <c r="G488" i="66" s="1"/>
  <c r="G489" i="66" s="1"/>
  <c r="G490" i="66" s="1"/>
  <c r="G491" i="66" s="1"/>
  <c r="G492" i="66" s="1"/>
  <c r="G493" i="66" s="1"/>
  <c r="G494" i="66" s="1"/>
  <c r="G495" i="66" s="1"/>
  <c r="G496" i="66" s="1"/>
  <c r="G497" i="66" s="1"/>
  <c r="G498" i="66" s="1"/>
  <c r="F470" i="66"/>
  <c r="F471" i="66" s="1"/>
  <c r="F472" i="66" s="1"/>
  <c r="F473" i="66" s="1"/>
  <c r="F474" i="66" s="1"/>
  <c r="F475" i="66" s="1"/>
  <c r="F476" i="66" s="1"/>
  <c r="F477" i="66" s="1"/>
  <c r="F478" i="66" s="1"/>
  <c r="F479" i="66" s="1"/>
  <c r="F480" i="66" s="1"/>
  <c r="F481" i="66" s="1"/>
  <c r="F482" i="66" s="1"/>
  <c r="F483" i="66" s="1"/>
  <c r="F484" i="66" s="1"/>
  <c r="F485" i="66" s="1"/>
  <c r="F486" i="66" s="1"/>
  <c r="F487" i="66" s="1"/>
  <c r="F488" i="66" s="1"/>
  <c r="F489" i="66" s="1"/>
  <c r="F490" i="66" s="1"/>
  <c r="F491" i="66" s="1"/>
  <c r="F492" i="66" s="1"/>
  <c r="F493" i="66" s="1"/>
  <c r="F494" i="66" s="1"/>
  <c r="F495" i="66" s="1"/>
  <c r="F496" i="66" s="1"/>
  <c r="F497" i="66" s="1"/>
  <c r="F498" i="66" s="1"/>
  <c r="E470" i="66"/>
  <c r="E471" i="66" s="1"/>
  <c r="E472" i="66" s="1"/>
  <c r="E473" i="66" s="1"/>
  <c r="E474" i="66" s="1"/>
  <c r="E475" i="66" s="1"/>
  <c r="E476" i="66" s="1"/>
  <c r="E477" i="66" s="1"/>
  <c r="E478" i="66" s="1"/>
  <c r="E479" i="66" s="1"/>
  <c r="E480" i="66" s="1"/>
  <c r="E481" i="66" s="1"/>
  <c r="E482" i="66" s="1"/>
  <c r="E483" i="66" s="1"/>
  <c r="E484" i="66" s="1"/>
  <c r="E485" i="66" s="1"/>
  <c r="E486" i="66" s="1"/>
  <c r="E487" i="66" s="1"/>
  <c r="E488" i="66" s="1"/>
  <c r="E489" i="66" s="1"/>
  <c r="E490" i="66" s="1"/>
  <c r="E491" i="66" s="1"/>
  <c r="E492" i="66" s="1"/>
  <c r="E493" i="66" s="1"/>
  <c r="E494" i="66" s="1"/>
  <c r="E495" i="66" s="1"/>
  <c r="E496" i="66" s="1"/>
  <c r="E497" i="66" s="1"/>
  <c r="E498" i="66" s="1"/>
  <c r="D470" i="66"/>
  <c r="D471" i="66" s="1"/>
  <c r="D472" i="66" s="1"/>
  <c r="D473" i="66" s="1"/>
  <c r="D474" i="66" s="1"/>
  <c r="D475" i="66" s="1"/>
  <c r="D476" i="66" s="1"/>
  <c r="D477" i="66" s="1"/>
  <c r="D478" i="66" s="1"/>
  <c r="D479" i="66" s="1"/>
  <c r="D480" i="66" s="1"/>
  <c r="D481" i="66" s="1"/>
  <c r="D482" i="66" s="1"/>
  <c r="D483" i="66" s="1"/>
  <c r="D484" i="66" s="1"/>
  <c r="D485" i="66" s="1"/>
  <c r="D486" i="66" s="1"/>
  <c r="D487" i="66" s="1"/>
  <c r="D488" i="66" s="1"/>
  <c r="D489" i="66" s="1"/>
  <c r="D490" i="66" s="1"/>
  <c r="D491" i="66" s="1"/>
  <c r="D492" i="66" s="1"/>
  <c r="D493" i="66" s="1"/>
  <c r="D494" i="66" s="1"/>
  <c r="D495" i="66" s="1"/>
  <c r="D496" i="66" s="1"/>
  <c r="D497" i="66" s="1"/>
  <c r="D498" i="66" s="1"/>
  <c r="C470" i="66"/>
  <c r="C471" i="66" s="1"/>
  <c r="C472" i="66" s="1"/>
  <c r="C473" i="66" s="1"/>
  <c r="C474" i="66" s="1"/>
  <c r="C475" i="66" s="1"/>
  <c r="C476" i="66" s="1"/>
  <c r="C477" i="66" s="1"/>
  <c r="C478" i="66" s="1"/>
  <c r="C479" i="66" s="1"/>
  <c r="C480" i="66" s="1"/>
  <c r="C481" i="66" s="1"/>
  <c r="C482" i="66" s="1"/>
  <c r="C483" i="66" s="1"/>
  <c r="C484" i="66" s="1"/>
  <c r="C485" i="66" s="1"/>
  <c r="C486" i="66" s="1"/>
  <c r="C487" i="66" s="1"/>
  <c r="C488" i="66" s="1"/>
  <c r="C489" i="66" s="1"/>
  <c r="C490" i="66" s="1"/>
  <c r="C491" i="66" s="1"/>
  <c r="C492" i="66" s="1"/>
  <c r="C493" i="66" s="1"/>
  <c r="C494" i="66" s="1"/>
  <c r="C495" i="66" s="1"/>
  <c r="C496" i="66" s="1"/>
  <c r="C497" i="66" s="1"/>
  <c r="C498" i="66" s="1"/>
  <c r="B470" i="66"/>
  <c r="B471" i="66" s="1"/>
  <c r="B472" i="66" s="1"/>
  <c r="B473" i="66" s="1"/>
  <c r="B474" i="66" s="1"/>
  <c r="B475" i="66" s="1"/>
  <c r="B476" i="66" s="1"/>
  <c r="B477" i="66" s="1"/>
  <c r="B478" i="66" s="1"/>
  <c r="B479" i="66" s="1"/>
  <c r="B480" i="66" s="1"/>
  <c r="B481" i="66" s="1"/>
  <c r="B482" i="66" s="1"/>
  <c r="B483" i="66" s="1"/>
  <c r="B484" i="66" s="1"/>
  <c r="B485" i="66" s="1"/>
  <c r="B486" i="66" s="1"/>
  <c r="B487" i="66" s="1"/>
  <c r="B488" i="66" s="1"/>
  <c r="B489" i="66" s="1"/>
  <c r="B490" i="66" s="1"/>
  <c r="B491" i="66" s="1"/>
  <c r="B492" i="66" s="1"/>
  <c r="B493" i="66" s="1"/>
  <c r="B494" i="66" s="1"/>
  <c r="B495" i="66" s="1"/>
  <c r="B496" i="66" s="1"/>
  <c r="B497" i="66" s="1"/>
  <c r="B498" i="66" s="1"/>
  <c r="AA469" i="66"/>
  <c r="U469" i="66"/>
  <c r="T469" i="66"/>
  <c r="P469" i="66"/>
  <c r="M469" i="66"/>
  <c r="L469" i="66"/>
  <c r="U409" i="66"/>
  <c r="T409" i="66"/>
  <c r="P409" i="66"/>
  <c r="M409" i="66"/>
  <c r="L409" i="66"/>
  <c r="AA408" i="66"/>
  <c r="U408" i="66"/>
  <c r="T408" i="66"/>
  <c r="P408" i="66"/>
  <c r="M408" i="66"/>
  <c r="L408" i="66"/>
  <c r="AA407" i="66"/>
  <c r="U407" i="66"/>
  <c r="T407" i="66"/>
  <c r="P407" i="66"/>
  <c r="M407" i="66"/>
  <c r="L407" i="66"/>
  <c r="AA406" i="66"/>
  <c r="U406" i="66"/>
  <c r="T406" i="66"/>
  <c r="P406" i="66"/>
  <c r="M406" i="66"/>
  <c r="L406" i="66"/>
  <c r="AA405" i="66"/>
  <c r="U405" i="66"/>
  <c r="T405" i="66"/>
  <c r="P405" i="66"/>
  <c r="M405" i="66"/>
  <c r="L405" i="66"/>
  <c r="AA404" i="66"/>
  <c r="U404" i="66"/>
  <c r="T404" i="66"/>
  <c r="Q404" i="66"/>
  <c r="Q405" i="66" s="1"/>
  <c r="Q406" i="66" s="1"/>
  <c r="Q407" i="66" s="1"/>
  <c r="P404" i="66"/>
  <c r="M404" i="66"/>
  <c r="L404" i="66"/>
  <c r="J404" i="66"/>
  <c r="J405" i="66" s="1"/>
  <c r="J406" i="66" s="1"/>
  <c r="J407" i="66" s="1"/>
  <c r="J408" i="66" s="1"/>
  <c r="J409" i="66" s="1"/>
  <c r="J410" i="66" s="1"/>
  <c r="J411" i="66" s="1"/>
  <c r="J412" i="66" s="1"/>
  <c r="J413" i="66" s="1"/>
  <c r="J414" i="66" s="1"/>
  <c r="J415" i="66" s="1"/>
  <c r="J416" i="66" s="1"/>
  <c r="J417" i="66" s="1"/>
  <c r="J418" i="66" s="1"/>
  <c r="J419" i="66" s="1"/>
  <c r="J420" i="66" s="1"/>
  <c r="J421" i="66" s="1"/>
  <c r="J422" i="66" s="1"/>
  <c r="J423" i="66" s="1"/>
  <c r="J424" i="66" s="1"/>
  <c r="J425" i="66" s="1"/>
  <c r="J426" i="66" s="1"/>
  <c r="J427" i="66" s="1"/>
  <c r="J428" i="66" s="1"/>
  <c r="J429" i="66" s="1"/>
  <c r="J430" i="66" s="1"/>
  <c r="J431" i="66" s="1"/>
  <c r="I404" i="66"/>
  <c r="I405" i="66" s="1"/>
  <c r="I406" i="66" s="1"/>
  <c r="I407" i="66" s="1"/>
  <c r="I408" i="66" s="1"/>
  <c r="I409" i="66" s="1"/>
  <c r="I410" i="66" s="1"/>
  <c r="H404" i="66"/>
  <c r="H405" i="66" s="1"/>
  <c r="H406" i="66" s="1"/>
  <c r="H407" i="66" s="1"/>
  <c r="H408" i="66" s="1"/>
  <c r="H409" i="66" s="1"/>
  <c r="H410" i="66" s="1"/>
  <c r="H411" i="66" s="1"/>
  <c r="H412" i="66" s="1"/>
  <c r="H413" i="66" s="1"/>
  <c r="H414" i="66" s="1"/>
  <c r="H415" i="66" s="1"/>
  <c r="H416" i="66" s="1"/>
  <c r="H417" i="66" s="1"/>
  <c r="H418" i="66" s="1"/>
  <c r="H419" i="66" s="1"/>
  <c r="H420" i="66" s="1"/>
  <c r="H421" i="66" s="1"/>
  <c r="H422" i="66" s="1"/>
  <c r="H423" i="66" s="1"/>
  <c r="H424" i="66" s="1"/>
  <c r="H425" i="66" s="1"/>
  <c r="H426" i="66" s="1"/>
  <c r="H427" i="66" s="1"/>
  <c r="H428" i="66" s="1"/>
  <c r="H429" i="66" s="1"/>
  <c r="H430" i="66" s="1"/>
  <c r="H431" i="66" s="1"/>
  <c r="G404" i="66"/>
  <c r="G405" i="66" s="1"/>
  <c r="G406" i="66" s="1"/>
  <c r="G407" i="66" s="1"/>
  <c r="G408" i="66" s="1"/>
  <c r="G409" i="66" s="1"/>
  <c r="G410" i="66" s="1"/>
  <c r="G411" i="66" s="1"/>
  <c r="G412" i="66" s="1"/>
  <c r="G413" i="66" s="1"/>
  <c r="G414" i="66" s="1"/>
  <c r="G415" i="66" s="1"/>
  <c r="G416" i="66" s="1"/>
  <c r="G417" i="66" s="1"/>
  <c r="G418" i="66" s="1"/>
  <c r="G419" i="66" s="1"/>
  <c r="G420" i="66" s="1"/>
  <c r="G421" i="66" s="1"/>
  <c r="G422" i="66" s="1"/>
  <c r="G423" i="66" s="1"/>
  <c r="G424" i="66" s="1"/>
  <c r="G425" i="66" s="1"/>
  <c r="G426" i="66" s="1"/>
  <c r="G427" i="66" s="1"/>
  <c r="G428" i="66" s="1"/>
  <c r="G429" i="66" s="1"/>
  <c r="G430" i="66" s="1"/>
  <c r="G431" i="66" s="1"/>
  <c r="F404" i="66"/>
  <c r="F405" i="66" s="1"/>
  <c r="F406" i="66" s="1"/>
  <c r="F407" i="66" s="1"/>
  <c r="F408" i="66" s="1"/>
  <c r="F409" i="66" s="1"/>
  <c r="F410" i="66" s="1"/>
  <c r="F411" i="66" s="1"/>
  <c r="F412" i="66" s="1"/>
  <c r="F413" i="66" s="1"/>
  <c r="F414" i="66" s="1"/>
  <c r="F415" i="66" s="1"/>
  <c r="F416" i="66" s="1"/>
  <c r="F417" i="66" s="1"/>
  <c r="F418" i="66" s="1"/>
  <c r="F419" i="66" s="1"/>
  <c r="F420" i="66" s="1"/>
  <c r="F421" i="66" s="1"/>
  <c r="F422" i="66" s="1"/>
  <c r="F423" i="66" s="1"/>
  <c r="F424" i="66" s="1"/>
  <c r="F425" i="66" s="1"/>
  <c r="F426" i="66" s="1"/>
  <c r="F427" i="66" s="1"/>
  <c r="F428" i="66" s="1"/>
  <c r="F429" i="66" s="1"/>
  <c r="F430" i="66" s="1"/>
  <c r="F431" i="66" s="1"/>
  <c r="E404" i="66"/>
  <c r="E405" i="66" s="1"/>
  <c r="E406" i="66" s="1"/>
  <c r="E407" i="66" s="1"/>
  <c r="E408" i="66" s="1"/>
  <c r="E409" i="66" s="1"/>
  <c r="E410" i="66" s="1"/>
  <c r="E411" i="66" s="1"/>
  <c r="E412" i="66" s="1"/>
  <c r="E413" i="66" s="1"/>
  <c r="E414" i="66" s="1"/>
  <c r="E415" i="66" s="1"/>
  <c r="E416" i="66" s="1"/>
  <c r="E417" i="66" s="1"/>
  <c r="E418" i="66" s="1"/>
  <c r="E419" i="66" s="1"/>
  <c r="E420" i="66" s="1"/>
  <c r="E421" i="66" s="1"/>
  <c r="E422" i="66" s="1"/>
  <c r="E423" i="66" s="1"/>
  <c r="E424" i="66" s="1"/>
  <c r="E425" i="66" s="1"/>
  <c r="E426" i="66" s="1"/>
  <c r="E427" i="66" s="1"/>
  <c r="E428" i="66" s="1"/>
  <c r="E429" i="66" s="1"/>
  <c r="E430" i="66" s="1"/>
  <c r="E431" i="66" s="1"/>
  <c r="D404" i="66"/>
  <c r="D405" i="66" s="1"/>
  <c r="D406" i="66" s="1"/>
  <c r="D407" i="66" s="1"/>
  <c r="D408" i="66" s="1"/>
  <c r="D409" i="66" s="1"/>
  <c r="D410" i="66" s="1"/>
  <c r="D411" i="66" s="1"/>
  <c r="D412" i="66" s="1"/>
  <c r="D413" i="66" s="1"/>
  <c r="D414" i="66" s="1"/>
  <c r="D415" i="66" s="1"/>
  <c r="D416" i="66" s="1"/>
  <c r="D417" i="66" s="1"/>
  <c r="D418" i="66" s="1"/>
  <c r="D419" i="66" s="1"/>
  <c r="D420" i="66" s="1"/>
  <c r="D421" i="66" s="1"/>
  <c r="D422" i="66" s="1"/>
  <c r="D423" i="66" s="1"/>
  <c r="D424" i="66" s="1"/>
  <c r="D425" i="66" s="1"/>
  <c r="D426" i="66" s="1"/>
  <c r="D427" i="66" s="1"/>
  <c r="D428" i="66" s="1"/>
  <c r="D429" i="66" s="1"/>
  <c r="D430" i="66" s="1"/>
  <c r="D431" i="66" s="1"/>
  <c r="C404" i="66"/>
  <c r="C405" i="66" s="1"/>
  <c r="C406" i="66" s="1"/>
  <c r="C407" i="66" s="1"/>
  <c r="C408" i="66" s="1"/>
  <c r="C409" i="66" s="1"/>
  <c r="C410" i="66" s="1"/>
  <c r="C411" i="66" s="1"/>
  <c r="C412" i="66" s="1"/>
  <c r="C413" i="66" s="1"/>
  <c r="C414" i="66" s="1"/>
  <c r="C415" i="66" s="1"/>
  <c r="C416" i="66" s="1"/>
  <c r="C417" i="66" s="1"/>
  <c r="C418" i="66" s="1"/>
  <c r="C419" i="66" s="1"/>
  <c r="C420" i="66" s="1"/>
  <c r="C421" i="66" s="1"/>
  <c r="C422" i="66" s="1"/>
  <c r="C423" i="66" s="1"/>
  <c r="C424" i="66" s="1"/>
  <c r="C425" i="66" s="1"/>
  <c r="C426" i="66" s="1"/>
  <c r="C427" i="66" s="1"/>
  <c r="C428" i="66" s="1"/>
  <c r="C429" i="66" s="1"/>
  <c r="C430" i="66" s="1"/>
  <c r="C431" i="66" s="1"/>
  <c r="B404" i="66"/>
  <c r="B405" i="66" s="1"/>
  <c r="B406" i="66" s="1"/>
  <c r="B407" i="66" s="1"/>
  <c r="B408" i="66" s="1"/>
  <c r="B409" i="66" s="1"/>
  <c r="B410" i="66" s="1"/>
  <c r="B411" i="66" s="1"/>
  <c r="B412" i="66" s="1"/>
  <c r="B413" i="66" s="1"/>
  <c r="B414" i="66" s="1"/>
  <c r="B415" i="66" s="1"/>
  <c r="B416" i="66" s="1"/>
  <c r="B417" i="66" s="1"/>
  <c r="B418" i="66" s="1"/>
  <c r="B419" i="66" s="1"/>
  <c r="B420" i="66" s="1"/>
  <c r="B421" i="66" s="1"/>
  <c r="B422" i="66" s="1"/>
  <c r="B423" i="66" s="1"/>
  <c r="B424" i="66" s="1"/>
  <c r="B425" i="66" s="1"/>
  <c r="B426" i="66" s="1"/>
  <c r="B427" i="66" s="1"/>
  <c r="B428" i="66" s="1"/>
  <c r="B429" i="66" s="1"/>
  <c r="B430" i="66" s="1"/>
  <c r="B431" i="66" s="1"/>
  <c r="AA403" i="66"/>
  <c r="U403" i="66"/>
  <c r="T403" i="66"/>
  <c r="P403" i="66"/>
  <c r="M403" i="66"/>
  <c r="L403" i="66"/>
  <c r="U376" i="66"/>
  <c r="T376" i="66"/>
  <c r="P376" i="66"/>
  <c r="M376" i="66"/>
  <c r="L376" i="66"/>
  <c r="AA375" i="66"/>
  <c r="U375" i="66"/>
  <c r="T375" i="66"/>
  <c r="P375" i="66"/>
  <c r="M375" i="66"/>
  <c r="L375" i="66"/>
  <c r="AA374" i="66"/>
  <c r="U374" i="66"/>
  <c r="T374" i="66"/>
  <c r="P374" i="66"/>
  <c r="M374" i="66"/>
  <c r="L374" i="66"/>
  <c r="AA373" i="66"/>
  <c r="U373" i="66"/>
  <c r="T373" i="66"/>
  <c r="P373" i="66"/>
  <c r="M373" i="66"/>
  <c r="L373" i="66"/>
  <c r="AA372" i="66"/>
  <c r="U372" i="66"/>
  <c r="T372" i="66"/>
  <c r="P372" i="66"/>
  <c r="M372" i="66"/>
  <c r="L372" i="66"/>
  <c r="AA371" i="66"/>
  <c r="U371" i="66"/>
  <c r="T371" i="66"/>
  <c r="Q371" i="66"/>
  <c r="Q372" i="66" s="1"/>
  <c r="P371" i="66"/>
  <c r="M371" i="66"/>
  <c r="L371" i="66"/>
  <c r="J371" i="66"/>
  <c r="J372" i="66" s="1"/>
  <c r="J373" i="66" s="1"/>
  <c r="J374" i="66" s="1"/>
  <c r="J375" i="66" s="1"/>
  <c r="J376" i="66" s="1"/>
  <c r="J377" i="66" s="1"/>
  <c r="J378" i="66" s="1"/>
  <c r="J379" i="66" s="1"/>
  <c r="J380" i="66" s="1"/>
  <c r="J381" i="66" s="1"/>
  <c r="J382" i="66" s="1"/>
  <c r="J383" i="66" s="1"/>
  <c r="J384" i="66" s="1"/>
  <c r="J385" i="66" s="1"/>
  <c r="J386" i="66" s="1"/>
  <c r="J387" i="66" s="1"/>
  <c r="J388" i="66" s="1"/>
  <c r="J389" i="66" s="1"/>
  <c r="J390" i="66" s="1"/>
  <c r="J391" i="66" s="1"/>
  <c r="J392" i="66" s="1"/>
  <c r="J393" i="66" s="1"/>
  <c r="J394" i="66" s="1"/>
  <c r="J395" i="66" s="1"/>
  <c r="J396" i="66" s="1"/>
  <c r="J397" i="66" s="1"/>
  <c r="J398" i="66" s="1"/>
  <c r="I371" i="66"/>
  <c r="I372" i="66" s="1"/>
  <c r="I373" i="66" s="1"/>
  <c r="I374" i="66" s="1"/>
  <c r="I375" i="66" s="1"/>
  <c r="I376" i="66" s="1"/>
  <c r="I377" i="66" s="1"/>
  <c r="H371" i="66"/>
  <c r="H372" i="66" s="1"/>
  <c r="H373" i="66" s="1"/>
  <c r="H374" i="66" s="1"/>
  <c r="H375" i="66" s="1"/>
  <c r="H376" i="66" s="1"/>
  <c r="H377" i="66" s="1"/>
  <c r="H378" i="66" s="1"/>
  <c r="H379" i="66" s="1"/>
  <c r="H380" i="66" s="1"/>
  <c r="H381" i="66" s="1"/>
  <c r="H382" i="66" s="1"/>
  <c r="H383" i="66" s="1"/>
  <c r="H384" i="66" s="1"/>
  <c r="H385" i="66" s="1"/>
  <c r="H386" i="66" s="1"/>
  <c r="H387" i="66" s="1"/>
  <c r="H388" i="66" s="1"/>
  <c r="H389" i="66" s="1"/>
  <c r="H390" i="66" s="1"/>
  <c r="H391" i="66" s="1"/>
  <c r="H392" i="66" s="1"/>
  <c r="H393" i="66" s="1"/>
  <c r="H394" i="66" s="1"/>
  <c r="H395" i="66" s="1"/>
  <c r="H396" i="66" s="1"/>
  <c r="H397" i="66" s="1"/>
  <c r="H398" i="66" s="1"/>
  <c r="G371" i="66"/>
  <c r="G372" i="66" s="1"/>
  <c r="G373" i="66" s="1"/>
  <c r="G374" i="66" s="1"/>
  <c r="G375" i="66" s="1"/>
  <c r="G376" i="66" s="1"/>
  <c r="G377" i="66" s="1"/>
  <c r="G378" i="66" s="1"/>
  <c r="G379" i="66" s="1"/>
  <c r="G380" i="66" s="1"/>
  <c r="G381" i="66" s="1"/>
  <c r="G382" i="66" s="1"/>
  <c r="G383" i="66" s="1"/>
  <c r="G384" i="66" s="1"/>
  <c r="G385" i="66" s="1"/>
  <c r="G386" i="66" s="1"/>
  <c r="G387" i="66" s="1"/>
  <c r="G388" i="66" s="1"/>
  <c r="G389" i="66" s="1"/>
  <c r="G390" i="66" s="1"/>
  <c r="G391" i="66" s="1"/>
  <c r="G392" i="66" s="1"/>
  <c r="G393" i="66" s="1"/>
  <c r="G394" i="66" s="1"/>
  <c r="G395" i="66" s="1"/>
  <c r="G396" i="66" s="1"/>
  <c r="G397" i="66" s="1"/>
  <c r="G398" i="66" s="1"/>
  <c r="F371" i="66"/>
  <c r="F372" i="66" s="1"/>
  <c r="F373" i="66" s="1"/>
  <c r="F374" i="66" s="1"/>
  <c r="F375" i="66" s="1"/>
  <c r="F376" i="66" s="1"/>
  <c r="F377" i="66" s="1"/>
  <c r="F378" i="66" s="1"/>
  <c r="F379" i="66" s="1"/>
  <c r="F380" i="66" s="1"/>
  <c r="F381" i="66" s="1"/>
  <c r="F382" i="66" s="1"/>
  <c r="F383" i="66" s="1"/>
  <c r="F384" i="66" s="1"/>
  <c r="F385" i="66" s="1"/>
  <c r="F386" i="66" s="1"/>
  <c r="F387" i="66" s="1"/>
  <c r="F388" i="66" s="1"/>
  <c r="F389" i="66" s="1"/>
  <c r="F390" i="66" s="1"/>
  <c r="F391" i="66" s="1"/>
  <c r="F392" i="66" s="1"/>
  <c r="F393" i="66" s="1"/>
  <c r="F394" i="66" s="1"/>
  <c r="F395" i="66" s="1"/>
  <c r="F396" i="66" s="1"/>
  <c r="F397" i="66" s="1"/>
  <c r="F398" i="66" s="1"/>
  <c r="E371" i="66"/>
  <c r="E372" i="66" s="1"/>
  <c r="E373" i="66" s="1"/>
  <c r="E374" i="66" s="1"/>
  <c r="E375" i="66" s="1"/>
  <c r="E376" i="66" s="1"/>
  <c r="E377" i="66" s="1"/>
  <c r="E378" i="66" s="1"/>
  <c r="E379" i="66" s="1"/>
  <c r="E380" i="66" s="1"/>
  <c r="E381" i="66" s="1"/>
  <c r="E382" i="66" s="1"/>
  <c r="E383" i="66" s="1"/>
  <c r="E384" i="66" s="1"/>
  <c r="E385" i="66" s="1"/>
  <c r="E386" i="66" s="1"/>
  <c r="E387" i="66" s="1"/>
  <c r="E388" i="66" s="1"/>
  <c r="E389" i="66" s="1"/>
  <c r="E390" i="66" s="1"/>
  <c r="E391" i="66" s="1"/>
  <c r="E392" i="66" s="1"/>
  <c r="E393" i="66" s="1"/>
  <c r="E394" i="66" s="1"/>
  <c r="E395" i="66" s="1"/>
  <c r="E396" i="66" s="1"/>
  <c r="E397" i="66" s="1"/>
  <c r="E398" i="66" s="1"/>
  <c r="D371" i="66"/>
  <c r="D372" i="66" s="1"/>
  <c r="D373" i="66" s="1"/>
  <c r="D374" i="66" s="1"/>
  <c r="D375" i="66" s="1"/>
  <c r="D376" i="66" s="1"/>
  <c r="D377" i="66" s="1"/>
  <c r="D378" i="66" s="1"/>
  <c r="D379" i="66" s="1"/>
  <c r="D380" i="66" s="1"/>
  <c r="D381" i="66" s="1"/>
  <c r="D382" i="66" s="1"/>
  <c r="D383" i="66" s="1"/>
  <c r="D384" i="66" s="1"/>
  <c r="D385" i="66" s="1"/>
  <c r="D386" i="66" s="1"/>
  <c r="D387" i="66" s="1"/>
  <c r="D388" i="66" s="1"/>
  <c r="D389" i="66" s="1"/>
  <c r="D390" i="66" s="1"/>
  <c r="D391" i="66" s="1"/>
  <c r="D392" i="66" s="1"/>
  <c r="D393" i="66" s="1"/>
  <c r="D394" i="66" s="1"/>
  <c r="D395" i="66" s="1"/>
  <c r="D396" i="66" s="1"/>
  <c r="D397" i="66" s="1"/>
  <c r="D398" i="66" s="1"/>
  <c r="C371" i="66"/>
  <c r="C372" i="66" s="1"/>
  <c r="C373" i="66" s="1"/>
  <c r="C374" i="66" s="1"/>
  <c r="C375" i="66" s="1"/>
  <c r="C376" i="66" s="1"/>
  <c r="C377" i="66" s="1"/>
  <c r="C378" i="66" s="1"/>
  <c r="C379" i="66" s="1"/>
  <c r="C380" i="66" s="1"/>
  <c r="C381" i="66" s="1"/>
  <c r="C382" i="66" s="1"/>
  <c r="C383" i="66" s="1"/>
  <c r="C384" i="66" s="1"/>
  <c r="C385" i="66" s="1"/>
  <c r="C386" i="66" s="1"/>
  <c r="C387" i="66" s="1"/>
  <c r="C388" i="66" s="1"/>
  <c r="C389" i="66" s="1"/>
  <c r="C390" i="66" s="1"/>
  <c r="C391" i="66" s="1"/>
  <c r="C392" i="66" s="1"/>
  <c r="C393" i="66" s="1"/>
  <c r="C394" i="66" s="1"/>
  <c r="C395" i="66" s="1"/>
  <c r="C396" i="66" s="1"/>
  <c r="C397" i="66" s="1"/>
  <c r="C398" i="66" s="1"/>
  <c r="B371" i="66"/>
  <c r="B372" i="66" s="1"/>
  <c r="B373" i="66" s="1"/>
  <c r="B374" i="66" s="1"/>
  <c r="B375" i="66" s="1"/>
  <c r="B376" i="66" s="1"/>
  <c r="B377" i="66" s="1"/>
  <c r="B378" i="66" s="1"/>
  <c r="B379" i="66" s="1"/>
  <c r="B380" i="66" s="1"/>
  <c r="B381" i="66" s="1"/>
  <c r="B382" i="66" s="1"/>
  <c r="B383" i="66" s="1"/>
  <c r="B384" i="66" s="1"/>
  <c r="B385" i="66" s="1"/>
  <c r="B386" i="66" s="1"/>
  <c r="B387" i="66" s="1"/>
  <c r="B388" i="66" s="1"/>
  <c r="B389" i="66" s="1"/>
  <c r="B390" i="66" s="1"/>
  <c r="B391" i="66" s="1"/>
  <c r="B392" i="66" s="1"/>
  <c r="B393" i="66" s="1"/>
  <c r="B394" i="66" s="1"/>
  <c r="B395" i="66" s="1"/>
  <c r="B396" i="66" s="1"/>
  <c r="B397" i="66" s="1"/>
  <c r="B398" i="66" s="1"/>
  <c r="AA370" i="66"/>
  <c r="U370" i="66"/>
  <c r="T370" i="66"/>
  <c r="P370" i="66"/>
  <c r="M370" i="66"/>
  <c r="L370" i="66"/>
  <c r="U342" i="66"/>
  <c r="T342" i="66"/>
  <c r="P342" i="66"/>
  <c r="M342" i="66"/>
  <c r="L342" i="66"/>
  <c r="AA341" i="66"/>
  <c r="U341" i="66"/>
  <c r="T341" i="66"/>
  <c r="P341" i="66"/>
  <c r="M341" i="66"/>
  <c r="L341" i="66"/>
  <c r="AA340" i="66"/>
  <c r="U340" i="66"/>
  <c r="T340" i="66"/>
  <c r="P340" i="66"/>
  <c r="M340" i="66"/>
  <c r="L340" i="66"/>
  <c r="AA339" i="66"/>
  <c r="U339" i="66"/>
  <c r="T339" i="66"/>
  <c r="P339" i="66"/>
  <c r="M339" i="66"/>
  <c r="L339" i="66"/>
  <c r="AA338" i="66"/>
  <c r="U338" i="66"/>
  <c r="T338" i="66"/>
  <c r="P338" i="66"/>
  <c r="M338" i="66"/>
  <c r="L338" i="66"/>
  <c r="AA337" i="66"/>
  <c r="U337" i="66"/>
  <c r="T337" i="66"/>
  <c r="Q337" i="66"/>
  <c r="Q338" i="66" s="1"/>
  <c r="Q339" i="66" s="1"/>
  <c r="Q340" i="66" s="1"/>
  <c r="P337" i="66"/>
  <c r="M337" i="66"/>
  <c r="L337" i="66"/>
  <c r="J337" i="66"/>
  <c r="J338" i="66" s="1"/>
  <c r="J339" i="66" s="1"/>
  <c r="J340" i="66" s="1"/>
  <c r="J341" i="66" s="1"/>
  <c r="J342" i="66" s="1"/>
  <c r="J343" i="66" s="1"/>
  <c r="J344" i="66" s="1"/>
  <c r="J345" i="66" s="1"/>
  <c r="J346" i="66" s="1"/>
  <c r="J347" i="66" s="1"/>
  <c r="J348" i="66" s="1"/>
  <c r="J349" i="66" s="1"/>
  <c r="J350" i="66" s="1"/>
  <c r="J351" i="66" s="1"/>
  <c r="J352" i="66" s="1"/>
  <c r="J353" i="66" s="1"/>
  <c r="J354" i="66" s="1"/>
  <c r="J355" i="66" s="1"/>
  <c r="J356" i="66" s="1"/>
  <c r="J357" i="66" s="1"/>
  <c r="J358" i="66" s="1"/>
  <c r="J359" i="66" s="1"/>
  <c r="J360" i="66" s="1"/>
  <c r="J361" i="66" s="1"/>
  <c r="J362" i="66" s="1"/>
  <c r="J363" i="66" s="1"/>
  <c r="J364" i="66" s="1"/>
  <c r="I337" i="66"/>
  <c r="I338" i="66" s="1"/>
  <c r="I339" i="66" s="1"/>
  <c r="I340" i="66" s="1"/>
  <c r="I341" i="66" s="1"/>
  <c r="I342" i="66" s="1"/>
  <c r="I343" i="66" s="1"/>
  <c r="H337" i="66"/>
  <c r="H338" i="66" s="1"/>
  <c r="H339" i="66" s="1"/>
  <c r="H340" i="66" s="1"/>
  <c r="H341" i="66" s="1"/>
  <c r="H342" i="66" s="1"/>
  <c r="H343" i="66" s="1"/>
  <c r="H344" i="66" s="1"/>
  <c r="H345" i="66" s="1"/>
  <c r="H346" i="66" s="1"/>
  <c r="H347" i="66" s="1"/>
  <c r="H348" i="66" s="1"/>
  <c r="H349" i="66" s="1"/>
  <c r="H350" i="66" s="1"/>
  <c r="H351" i="66" s="1"/>
  <c r="H352" i="66" s="1"/>
  <c r="H353" i="66" s="1"/>
  <c r="H354" i="66" s="1"/>
  <c r="H355" i="66" s="1"/>
  <c r="H356" i="66" s="1"/>
  <c r="H357" i="66" s="1"/>
  <c r="H358" i="66" s="1"/>
  <c r="H359" i="66" s="1"/>
  <c r="H360" i="66" s="1"/>
  <c r="H361" i="66" s="1"/>
  <c r="H362" i="66" s="1"/>
  <c r="H363" i="66" s="1"/>
  <c r="H364" i="66" s="1"/>
  <c r="G337" i="66"/>
  <c r="G338" i="66" s="1"/>
  <c r="G339" i="66" s="1"/>
  <c r="G340" i="66" s="1"/>
  <c r="G341" i="66" s="1"/>
  <c r="G342" i="66" s="1"/>
  <c r="G343" i="66" s="1"/>
  <c r="G344" i="66" s="1"/>
  <c r="G345" i="66" s="1"/>
  <c r="G346" i="66" s="1"/>
  <c r="G347" i="66" s="1"/>
  <c r="G348" i="66" s="1"/>
  <c r="G349" i="66" s="1"/>
  <c r="G350" i="66" s="1"/>
  <c r="G351" i="66" s="1"/>
  <c r="G352" i="66" s="1"/>
  <c r="G353" i="66" s="1"/>
  <c r="G354" i="66" s="1"/>
  <c r="G355" i="66" s="1"/>
  <c r="G356" i="66" s="1"/>
  <c r="G357" i="66" s="1"/>
  <c r="G358" i="66" s="1"/>
  <c r="G359" i="66" s="1"/>
  <c r="G360" i="66" s="1"/>
  <c r="G361" i="66" s="1"/>
  <c r="G362" i="66" s="1"/>
  <c r="G363" i="66" s="1"/>
  <c r="G364" i="66" s="1"/>
  <c r="F337" i="66"/>
  <c r="F338" i="66" s="1"/>
  <c r="F339" i="66" s="1"/>
  <c r="F340" i="66" s="1"/>
  <c r="F341" i="66" s="1"/>
  <c r="F342" i="66" s="1"/>
  <c r="F343" i="66" s="1"/>
  <c r="F344" i="66" s="1"/>
  <c r="F345" i="66" s="1"/>
  <c r="F346" i="66" s="1"/>
  <c r="F347" i="66" s="1"/>
  <c r="F348" i="66" s="1"/>
  <c r="F349" i="66" s="1"/>
  <c r="F350" i="66" s="1"/>
  <c r="F351" i="66" s="1"/>
  <c r="F352" i="66" s="1"/>
  <c r="F353" i="66" s="1"/>
  <c r="F354" i="66" s="1"/>
  <c r="F355" i="66" s="1"/>
  <c r="F356" i="66" s="1"/>
  <c r="F357" i="66" s="1"/>
  <c r="F358" i="66" s="1"/>
  <c r="F359" i="66" s="1"/>
  <c r="F360" i="66" s="1"/>
  <c r="F361" i="66" s="1"/>
  <c r="F362" i="66" s="1"/>
  <c r="F363" i="66" s="1"/>
  <c r="F364" i="66" s="1"/>
  <c r="E337" i="66"/>
  <c r="E338" i="66" s="1"/>
  <c r="E339" i="66" s="1"/>
  <c r="E340" i="66" s="1"/>
  <c r="E341" i="66" s="1"/>
  <c r="E342" i="66" s="1"/>
  <c r="E343" i="66" s="1"/>
  <c r="E344" i="66" s="1"/>
  <c r="E345" i="66" s="1"/>
  <c r="E346" i="66" s="1"/>
  <c r="E347" i="66" s="1"/>
  <c r="E348" i="66" s="1"/>
  <c r="E349" i="66" s="1"/>
  <c r="E350" i="66" s="1"/>
  <c r="E351" i="66" s="1"/>
  <c r="E352" i="66" s="1"/>
  <c r="E353" i="66" s="1"/>
  <c r="E354" i="66" s="1"/>
  <c r="E355" i="66" s="1"/>
  <c r="E356" i="66" s="1"/>
  <c r="E357" i="66" s="1"/>
  <c r="E358" i="66" s="1"/>
  <c r="E359" i="66" s="1"/>
  <c r="E360" i="66" s="1"/>
  <c r="E361" i="66" s="1"/>
  <c r="E362" i="66" s="1"/>
  <c r="E363" i="66" s="1"/>
  <c r="E364" i="66" s="1"/>
  <c r="D337" i="66"/>
  <c r="D338" i="66" s="1"/>
  <c r="D339" i="66" s="1"/>
  <c r="D340" i="66" s="1"/>
  <c r="D341" i="66" s="1"/>
  <c r="D342" i="66" s="1"/>
  <c r="D343" i="66" s="1"/>
  <c r="D344" i="66" s="1"/>
  <c r="D345" i="66" s="1"/>
  <c r="D346" i="66" s="1"/>
  <c r="D347" i="66" s="1"/>
  <c r="D348" i="66" s="1"/>
  <c r="D349" i="66" s="1"/>
  <c r="D350" i="66" s="1"/>
  <c r="D351" i="66" s="1"/>
  <c r="D352" i="66" s="1"/>
  <c r="D353" i="66" s="1"/>
  <c r="D354" i="66" s="1"/>
  <c r="D355" i="66" s="1"/>
  <c r="D356" i="66" s="1"/>
  <c r="D357" i="66" s="1"/>
  <c r="D358" i="66" s="1"/>
  <c r="D359" i="66" s="1"/>
  <c r="D360" i="66" s="1"/>
  <c r="D361" i="66" s="1"/>
  <c r="D362" i="66" s="1"/>
  <c r="D363" i="66" s="1"/>
  <c r="D364" i="66" s="1"/>
  <c r="C337" i="66"/>
  <c r="C338" i="66" s="1"/>
  <c r="C339" i="66" s="1"/>
  <c r="C340" i="66" s="1"/>
  <c r="C341" i="66" s="1"/>
  <c r="C342" i="66" s="1"/>
  <c r="C343" i="66" s="1"/>
  <c r="C344" i="66" s="1"/>
  <c r="C345" i="66" s="1"/>
  <c r="C346" i="66" s="1"/>
  <c r="C347" i="66" s="1"/>
  <c r="C348" i="66" s="1"/>
  <c r="C349" i="66" s="1"/>
  <c r="C350" i="66" s="1"/>
  <c r="C351" i="66" s="1"/>
  <c r="C352" i="66" s="1"/>
  <c r="C353" i="66" s="1"/>
  <c r="C354" i="66" s="1"/>
  <c r="C355" i="66" s="1"/>
  <c r="C356" i="66" s="1"/>
  <c r="C357" i="66" s="1"/>
  <c r="C358" i="66" s="1"/>
  <c r="C359" i="66" s="1"/>
  <c r="C360" i="66" s="1"/>
  <c r="C361" i="66" s="1"/>
  <c r="C362" i="66" s="1"/>
  <c r="C363" i="66" s="1"/>
  <c r="C364" i="66" s="1"/>
  <c r="B337" i="66"/>
  <c r="B338" i="66" s="1"/>
  <c r="B339" i="66" s="1"/>
  <c r="B340" i="66" s="1"/>
  <c r="B341" i="66" s="1"/>
  <c r="B342" i="66" s="1"/>
  <c r="B343" i="66" s="1"/>
  <c r="B344" i="66" s="1"/>
  <c r="B345" i="66" s="1"/>
  <c r="B346" i="66" s="1"/>
  <c r="B347" i="66" s="1"/>
  <c r="B348" i="66" s="1"/>
  <c r="B349" i="66" s="1"/>
  <c r="B350" i="66" s="1"/>
  <c r="B351" i="66" s="1"/>
  <c r="B352" i="66" s="1"/>
  <c r="B353" i="66" s="1"/>
  <c r="B354" i="66" s="1"/>
  <c r="B355" i="66" s="1"/>
  <c r="B356" i="66" s="1"/>
  <c r="B357" i="66" s="1"/>
  <c r="B358" i="66" s="1"/>
  <c r="B359" i="66" s="1"/>
  <c r="B360" i="66" s="1"/>
  <c r="B361" i="66" s="1"/>
  <c r="B362" i="66" s="1"/>
  <c r="B363" i="66" s="1"/>
  <c r="B364" i="66" s="1"/>
  <c r="AA336" i="66"/>
  <c r="U336" i="66"/>
  <c r="T336" i="66"/>
  <c r="P336" i="66"/>
  <c r="M336" i="66"/>
  <c r="L336" i="66"/>
  <c r="U309" i="66"/>
  <c r="T309" i="66"/>
  <c r="P309" i="66"/>
  <c r="M309" i="66"/>
  <c r="L309" i="66"/>
  <c r="AA308" i="66"/>
  <c r="U308" i="66"/>
  <c r="T308" i="66"/>
  <c r="P308" i="66"/>
  <c r="M308" i="66"/>
  <c r="L308" i="66"/>
  <c r="AA307" i="66"/>
  <c r="U307" i="66"/>
  <c r="T307" i="66"/>
  <c r="P307" i="66"/>
  <c r="M307" i="66"/>
  <c r="L307" i="66"/>
  <c r="AA306" i="66"/>
  <c r="U306" i="66"/>
  <c r="T306" i="66"/>
  <c r="P306" i="66"/>
  <c r="M306" i="66"/>
  <c r="L306" i="66"/>
  <c r="AA305" i="66"/>
  <c r="U305" i="66"/>
  <c r="T305" i="66"/>
  <c r="P305" i="66"/>
  <c r="M305" i="66"/>
  <c r="L305" i="66"/>
  <c r="AA304" i="66"/>
  <c r="U304" i="66"/>
  <c r="T304" i="66"/>
  <c r="Q304" i="66"/>
  <c r="Q305" i="66" s="1"/>
  <c r="P304" i="66"/>
  <c r="M304" i="66"/>
  <c r="L304" i="66"/>
  <c r="J304" i="66"/>
  <c r="J305" i="66" s="1"/>
  <c r="J306" i="66" s="1"/>
  <c r="J307" i="66" s="1"/>
  <c r="J308" i="66" s="1"/>
  <c r="J309" i="66" s="1"/>
  <c r="J310" i="66" s="1"/>
  <c r="J311" i="66" s="1"/>
  <c r="J312" i="66" s="1"/>
  <c r="J313" i="66" s="1"/>
  <c r="J314" i="66" s="1"/>
  <c r="J315" i="66" s="1"/>
  <c r="J316" i="66" s="1"/>
  <c r="J317" i="66" s="1"/>
  <c r="J318" i="66" s="1"/>
  <c r="J319" i="66" s="1"/>
  <c r="J320" i="66" s="1"/>
  <c r="J321" i="66" s="1"/>
  <c r="J322" i="66" s="1"/>
  <c r="J323" i="66" s="1"/>
  <c r="J324" i="66" s="1"/>
  <c r="J325" i="66" s="1"/>
  <c r="J326" i="66" s="1"/>
  <c r="J327" i="66" s="1"/>
  <c r="J328" i="66" s="1"/>
  <c r="J329" i="66" s="1"/>
  <c r="J330" i="66" s="1"/>
  <c r="J331" i="66" s="1"/>
  <c r="I304" i="66"/>
  <c r="I305" i="66" s="1"/>
  <c r="I306" i="66" s="1"/>
  <c r="I307" i="66" s="1"/>
  <c r="I308" i="66" s="1"/>
  <c r="I309" i="66" s="1"/>
  <c r="I310" i="66" s="1"/>
  <c r="F304" i="66"/>
  <c r="F305" i="66" s="1"/>
  <c r="F306" i="66" s="1"/>
  <c r="F307" i="66" s="1"/>
  <c r="F308" i="66" s="1"/>
  <c r="F309" i="66" s="1"/>
  <c r="F310" i="66" s="1"/>
  <c r="F311" i="66" s="1"/>
  <c r="F312" i="66" s="1"/>
  <c r="F313" i="66" s="1"/>
  <c r="F314" i="66" s="1"/>
  <c r="F315" i="66" s="1"/>
  <c r="F316" i="66" s="1"/>
  <c r="F317" i="66" s="1"/>
  <c r="F318" i="66" s="1"/>
  <c r="F319" i="66" s="1"/>
  <c r="F320" i="66" s="1"/>
  <c r="F321" i="66" s="1"/>
  <c r="F322" i="66" s="1"/>
  <c r="F323" i="66" s="1"/>
  <c r="F324" i="66" s="1"/>
  <c r="F325" i="66" s="1"/>
  <c r="F326" i="66" s="1"/>
  <c r="F327" i="66" s="1"/>
  <c r="F328" i="66" s="1"/>
  <c r="F329" i="66" s="1"/>
  <c r="F330" i="66" s="1"/>
  <c r="F331" i="66" s="1"/>
  <c r="E304" i="66"/>
  <c r="E305" i="66" s="1"/>
  <c r="E306" i="66" s="1"/>
  <c r="E307" i="66" s="1"/>
  <c r="E308" i="66" s="1"/>
  <c r="E309" i="66" s="1"/>
  <c r="E310" i="66" s="1"/>
  <c r="E311" i="66" s="1"/>
  <c r="E312" i="66" s="1"/>
  <c r="E313" i="66" s="1"/>
  <c r="E314" i="66" s="1"/>
  <c r="E315" i="66" s="1"/>
  <c r="E316" i="66" s="1"/>
  <c r="E317" i="66" s="1"/>
  <c r="E318" i="66" s="1"/>
  <c r="E319" i="66" s="1"/>
  <c r="E320" i="66" s="1"/>
  <c r="E321" i="66" s="1"/>
  <c r="E322" i="66" s="1"/>
  <c r="E323" i="66" s="1"/>
  <c r="E324" i="66" s="1"/>
  <c r="E325" i="66" s="1"/>
  <c r="E326" i="66" s="1"/>
  <c r="E327" i="66" s="1"/>
  <c r="E328" i="66" s="1"/>
  <c r="E329" i="66" s="1"/>
  <c r="E330" i="66" s="1"/>
  <c r="E331" i="66" s="1"/>
  <c r="C304" i="66"/>
  <c r="C305" i="66" s="1"/>
  <c r="C306" i="66" s="1"/>
  <c r="C307" i="66" s="1"/>
  <c r="C308" i="66" s="1"/>
  <c r="C309" i="66" s="1"/>
  <c r="C310" i="66" s="1"/>
  <c r="C311" i="66" s="1"/>
  <c r="C312" i="66" s="1"/>
  <c r="C313" i="66" s="1"/>
  <c r="C314" i="66" s="1"/>
  <c r="C315" i="66" s="1"/>
  <c r="C316" i="66" s="1"/>
  <c r="C317" i="66" s="1"/>
  <c r="C318" i="66" s="1"/>
  <c r="C319" i="66" s="1"/>
  <c r="C320" i="66" s="1"/>
  <c r="C321" i="66" s="1"/>
  <c r="C322" i="66" s="1"/>
  <c r="C323" i="66" s="1"/>
  <c r="C324" i="66" s="1"/>
  <c r="C325" i="66" s="1"/>
  <c r="C326" i="66" s="1"/>
  <c r="C327" i="66" s="1"/>
  <c r="C328" i="66" s="1"/>
  <c r="C329" i="66" s="1"/>
  <c r="C330" i="66" s="1"/>
  <c r="C331" i="66" s="1"/>
  <c r="AA303" i="66"/>
  <c r="U303" i="66"/>
  <c r="T303" i="66"/>
  <c r="P303" i="66"/>
  <c r="M303" i="66"/>
  <c r="L303" i="66"/>
  <c r="J277" i="66"/>
  <c r="J278" i="66" s="1"/>
  <c r="J279" i="66" s="1"/>
  <c r="J280" i="66" s="1"/>
  <c r="J281" i="66" s="1"/>
  <c r="J282" i="66" s="1"/>
  <c r="J283" i="66" s="1"/>
  <c r="J284" i="66" s="1"/>
  <c r="J285" i="66" s="1"/>
  <c r="J286" i="66" s="1"/>
  <c r="J287" i="66" s="1"/>
  <c r="J288" i="66" s="1"/>
  <c r="J289" i="66" s="1"/>
  <c r="J290" i="66" s="1"/>
  <c r="J291" i="66" s="1"/>
  <c r="J292" i="66" s="1"/>
  <c r="J293" i="66" s="1"/>
  <c r="J294" i="66" s="1"/>
  <c r="J295" i="66" s="1"/>
  <c r="J296" i="66" s="1"/>
  <c r="J297" i="66" s="1"/>
  <c r="J298" i="66" s="1"/>
  <c r="I277" i="66"/>
  <c r="F277" i="66"/>
  <c r="F278" i="66" s="1"/>
  <c r="F279" i="66" s="1"/>
  <c r="F280" i="66" s="1"/>
  <c r="F281" i="66" s="1"/>
  <c r="F282" i="66" s="1"/>
  <c r="F283" i="66" s="1"/>
  <c r="F284" i="66" s="1"/>
  <c r="F285" i="66" s="1"/>
  <c r="F286" i="66" s="1"/>
  <c r="F287" i="66" s="1"/>
  <c r="F288" i="66" s="1"/>
  <c r="F289" i="66" s="1"/>
  <c r="F290" i="66" s="1"/>
  <c r="F291" i="66" s="1"/>
  <c r="F292" i="66" s="1"/>
  <c r="F293" i="66" s="1"/>
  <c r="F294" i="66" s="1"/>
  <c r="F295" i="66" s="1"/>
  <c r="F296" i="66" s="1"/>
  <c r="F297" i="66" s="1"/>
  <c r="F298" i="66" s="1"/>
  <c r="E277" i="66"/>
  <c r="E278" i="66" s="1"/>
  <c r="E279" i="66" s="1"/>
  <c r="E280" i="66" s="1"/>
  <c r="E281" i="66" s="1"/>
  <c r="E282" i="66" s="1"/>
  <c r="E283" i="66" s="1"/>
  <c r="E284" i="66" s="1"/>
  <c r="E285" i="66" s="1"/>
  <c r="E286" i="66" s="1"/>
  <c r="E287" i="66" s="1"/>
  <c r="E288" i="66" s="1"/>
  <c r="E289" i="66" s="1"/>
  <c r="E290" i="66" s="1"/>
  <c r="E291" i="66" s="1"/>
  <c r="E292" i="66" s="1"/>
  <c r="E293" i="66" s="1"/>
  <c r="E294" i="66" s="1"/>
  <c r="E295" i="66" s="1"/>
  <c r="E296" i="66" s="1"/>
  <c r="E297" i="66" s="1"/>
  <c r="E298" i="66" s="1"/>
  <c r="C277" i="66"/>
  <c r="C278" i="66" s="1"/>
  <c r="C279" i="66" s="1"/>
  <c r="C280" i="66" s="1"/>
  <c r="C281" i="66" s="1"/>
  <c r="C282" i="66" s="1"/>
  <c r="C283" i="66" s="1"/>
  <c r="C284" i="66" s="1"/>
  <c r="C285" i="66" s="1"/>
  <c r="C286" i="66" s="1"/>
  <c r="C287" i="66" s="1"/>
  <c r="C288" i="66" s="1"/>
  <c r="C289" i="66" s="1"/>
  <c r="C290" i="66" s="1"/>
  <c r="C291" i="66" s="1"/>
  <c r="C292" i="66" s="1"/>
  <c r="C293" i="66" s="1"/>
  <c r="C294" i="66" s="1"/>
  <c r="C295" i="66" s="1"/>
  <c r="C296" i="66" s="1"/>
  <c r="C297" i="66" s="1"/>
  <c r="C298" i="66" s="1"/>
  <c r="U243" i="66"/>
  <c r="T243" i="66"/>
  <c r="P243" i="66"/>
  <c r="M243" i="66"/>
  <c r="L243" i="66"/>
  <c r="AA242" i="66"/>
  <c r="U242" i="66"/>
  <c r="T242" i="66"/>
  <c r="P242" i="66"/>
  <c r="M242" i="66"/>
  <c r="L242" i="66"/>
  <c r="AA241" i="66"/>
  <c r="U241" i="66"/>
  <c r="T241" i="66"/>
  <c r="P241" i="66"/>
  <c r="M241" i="66"/>
  <c r="L241" i="66"/>
  <c r="AA240" i="66"/>
  <c r="U240" i="66"/>
  <c r="T240" i="66"/>
  <c r="M240" i="66"/>
  <c r="AA239" i="66"/>
  <c r="U239" i="66"/>
  <c r="M239" i="66"/>
  <c r="AA238" i="66"/>
  <c r="U238" i="66"/>
  <c r="T238" i="66"/>
  <c r="Q238" i="66"/>
  <c r="Q240" i="66" s="1"/>
  <c r="Q242" i="66" s="1"/>
  <c r="Q244" i="66" s="1"/>
  <c r="P238" i="66"/>
  <c r="M238" i="66"/>
  <c r="L238" i="66"/>
  <c r="J238" i="66"/>
  <c r="J239" i="66" s="1"/>
  <c r="J240" i="66" s="1"/>
  <c r="J241" i="66" s="1"/>
  <c r="J242" i="66" s="1"/>
  <c r="J243" i="66" s="1"/>
  <c r="J244" i="66" s="1"/>
  <c r="J245" i="66" s="1"/>
  <c r="J246" i="66" s="1"/>
  <c r="J247" i="66" s="1"/>
  <c r="J248" i="66" s="1"/>
  <c r="J249" i="66" s="1"/>
  <c r="J250" i="66" s="1"/>
  <c r="J251" i="66" s="1"/>
  <c r="J252" i="66" s="1"/>
  <c r="J253" i="66" s="1"/>
  <c r="J254" i="66" s="1"/>
  <c r="J255" i="66" s="1"/>
  <c r="J256" i="66" s="1"/>
  <c r="J257" i="66" s="1"/>
  <c r="J258" i="66" s="1"/>
  <c r="J259" i="66" s="1"/>
  <c r="J260" i="66" s="1"/>
  <c r="J261" i="66" s="1"/>
  <c r="J262" i="66" s="1"/>
  <c r="J263" i="66" s="1"/>
  <c r="J264" i="66" s="1"/>
  <c r="J265" i="66" s="1"/>
  <c r="I238" i="66"/>
  <c r="I239" i="66" s="1"/>
  <c r="I240" i="66" s="1"/>
  <c r="I241" i="66" s="1"/>
  <c r="I242" i="66" s="1"/>
  <c r="I243" i="66" s="1"/>
  <c r="I244" i="66" s="1"/>
  <c r="F238" i="66"/>
  <c r="F239" i="66" s="1"/>
  <c r="F240" i="66" s="1"/>
  <c r="F241" i="66" s="1"/>
  <c r="F242" i="66" s="1"/>
  <c r="F243" i="66" s="1"/>
  <c r="F244" i="66" s="1"/>
  <c r="F245" i="66" s="1"/>
  <c r="F246" i="66" s="1"/>
  <c r="F247" i="66" s="1"/>
  <c r="F248" i="66" s="1"/>
  <c r="F249" i="66" s="1"/>
  <c r="F250" i="66" s="1"/>
  <c r="F251" i="66" s="1"/>
  <c r="F252" i="66" s="1"/>
  <c r="F253" i="66" s="1"/>
  <c r="F254" i="66" s="1"/>
  <c r="F255" i="66" s="1"/>
  <c r="F256" i="66" s="1"/>
  <c r="F257" i="66" s="1"/>
  <c r="F258" i="66" s="1"/>
  <c r="F259" i="66" s="1"/>
  <c r="F260" i="66" s="1"/>
  <c r="F261" i="66" s="1"/>
  <c r="F262" i="66" s="1"/>
  <c r="F263" i="66" s="1"/>
  <c r="F264" i="66" s="1"/>
  <c r="F265" i="66" s="1"/>
  <c r="E238" i="66"/>
  <c r="E239" i="66" s="1"/>
  <c r="E241" i="66" s="1"/>
  <c r="E243" i="66" s="1"/>
  <c r="E245" i="66" s="1"/>
  <c r="E247" i="66" s="1"/>
  <c r="E249" i="66" s="1"/>
  <c r="E251" i="66" s="1"/>
  <c r="E253" i="66" s="1"/>
  <c r="E255" i="66" s="1"/>
  <c r="E257" i="66" s="1"/>
  <c r="E259" i="66" s="1"/>
  <c r="E261" i="66" s="1"/>
  <c r="E263" i="66" s="1"/>
  <c r="E265" i="66" s="1"/>
  <c r="E267" i="66" s="1"/>
  <c r="C238" i="66"/>
  <c r="C240" i="66" s="1"/>
  <c r="C242" i="66" s="1"/>
  <c r="C244" i="66" s="1"/>
  <c r="C246" i="66" s="1"/>
  <c r="C248" i="66" s="1"/>
  <c r="C250" i="66" s="1"/>
  <c r="C252" i="66" s="1"/>
  <c r="C254" i="66" s="1"/>
  <c r="C256" i="66" s="1"/>
  <c r="C258" i="66" s="1"/>
  <c r="C260" i="66" s="1"/>
  <c r="C262" i="66" s="1"/>
  <c r="C264" i="66" s="1"/>
  <c r="AA237" i="66"/>
  <c r="U237" i="66"/>
  <c r="T237" i="66"/>
  <c r="P237" i="66"/>
  <c r="M237" i="66"/>
  <c r="L237" i="66"/>
  <c r="U208" i="66"/>
  <c r="T208" i="66"/>
  <c r="P208" i="66"/>
  <c r="L208" i="66"/>
  <c r="AA207" i="66"/>
  <c r="U207" i="66"/>
  <c r="T207" i="66"/>
  <c r="P207" i="66"/>
  <c r="L207" i="66"/>
  <c r="AA206" i="66"/>
  <c r="U206" i="66"/>
  <c r="T206" i="66"/>
  <c r="P206" i="66"/>
  <c r="L206" i="66"/>
  <c r="AA205" i="66"/>
  <c r="U205" i="66"/>
  <c r="T205" i="66"/>
  <c r="P205" i="66"/>
  <c r="L205" i="66"/>
  <c r="AA204" i="66"/>
  <c r="U204" i="66"/>
  <c r="AA203" i="66"/>
  <c r="U203" i="66"/>
  <c r="T203" i="66"/>
  <c r="Q203" i="66"/>
  <c r="Q204" i="66" s="1"/>
  <c r="Q205" i="66" s="1"/>
  <c r="Q206" i="66" s="1"/>
  <c r="P203" i="66"/>
  <c r="L203" i="66"/>
  <c r="K203" i="66"/>
  <c r="J203" i="66"/>
  <c r="J204" i="66" s="1"/>
  <c r="J205" i="66" s="1"/>
  <c r="J206" i="66" s="1"/>
  <c r="J207" i="66" s="1"/>
  <c r="J208" i="66" s="1"/>
  <c r="J209" i="66" s="1"/>
  <c r="J210" i="66" s="1"/>
  <c r="J211" i="66" s="1"/>
  <c r="J212" i="66" s="1"/>
  <c r="J213" i="66" s="1"/>
  <c r="J214" i="66" s="1"/>
  <c r="J215" i="66" s="1"/>
  <c r="J216" i="66" s="1"/>
  <c r="J217" i="66" s="1"/>
  <c r="J218" i="66" s="1"/>
  <c r="J219" i="66" s="1"/>
  <c r="J220" i="66" s="1"/>
  <c r="J221" i="66" s="1"/>
  <c r="J222" i="66" s="1"/>
  <c r="I203" i="66"/>
  <c r="I204" i="66" s="1"/>
  <c r="I205" i="66" s="1"/>
  <c r="I206" i="66" s="1"/>
  <c r="I207" i="66" s="1"/>
  <c r="I208" i="66" s="1"/>
  <c r="I209" i="66" s="1"/>
  <c r="F203" i="66"/>
  <c r="F204" i="66" s="1"/>
  <c r="F205" i="66" s="1"/>
  <c r="F206" i="66" s="1"/>
  <c r="F207" i="66" s="1"/>
  <c r="F208" i="66" s="1"/>
  <c r="F209" i="66" s="1"/>
  <c r="F210" i="66" s="1"/>
  <c r="F211" i="66" s="1"/>
  <c r="F212" i="66" s="1"/>
  <c r="F213" i="66" s="1"/>
  <c r="F214" i="66" s="1"/>
  <c r="F215" i="66" s="1"/>
  <c r="F216" i="66" s="1"/>
  <c r="F217" i="66" s="1"/>
  <c r="F218" i="66" s="1"/>
  <c r="F219" i="66" s="1"/>
  <c r="F220" i="66" s="1"/>
  <c r="F221" i="66" s="1"/>
  <c r="F222" i="66" s="1"/>
  <c r="E203" i="66"/>
  <c r="E204" i="66" s="1"/>
  <c r="E205" i="66" s="1"/>
  <c r="E206" i="66" s="1"/>
  <c r="E207" i="66" s="1"/>
  <c r="E208" i="66" s="1"/>
  <c r="E209" i="66" s="1"/>
  <c r="E210" i="66" s="1"/>
  <c r="E211" i="66" s="1"/>
  <c r="E212" i="66" s="1"/>
  <c r="E213" i="66" s="1"/>
  <c r="E214" i="66" s="1"/>
  <c r="E215" i="66" s="1"/>
  <c r="E216" i="66" s="1"/>
  <c r="E217" i="66" s="1"/>
  <c r="E218" i="66" s="1"/>
  <c r="E219" i="66" s="1"/>
  <c r="E220" i="66" s="1"/>
  <c r="E221" i="66" s="1"/>
  <c r="E222" i="66" s="1"/>
  <c r="C203" i="66"/>
  <c r="C204" i="66" s="1"/>
  <c r="C205" i="66" s="1"/>
  <c r="C206" i="66" s="1"/>
  <c r="C207" i="66" s="1"/>
  <c r="C208" i="66" s="1"/>
  <c r="C209" i="66" s="1"/>
  <c r="C210" i="66" s="1"/>
  <c r="C211" i="66" s="1"/>
  <c r="C212" i="66" s="1"/>
  <c r="C213" i="66" s="1"/>
  <c r="C214" i="66" s="1"/>
  <c r="C215" i="66" s="1"/>
  <c r="C216" i="66" s="1"/>
  <c r="C217" i="66" s="1"/>
  <c r="C218" i="66" s="1"/>
  <c r="C219" i="66" s="1"/>
  <c r="C220" i="66" s="1"/>
  <c r="C221" i="66" s="1"/>
  <c r="C222" i="66" s="1"/>
  <c r="AA202" i="66"/>
  <c r="U202" i="66"/>
  <c r="T202" i="66"/>
  <c r="P202" i="66"/>
  <c r="L202" i="66"/>
  <c r="K202" i="66"/>
  <c r="U175" i="66"/>
  <c r="T175" i="66"/>
  <c r="P175" i="66"/>
  <c r="M175" i="66"/>
  <c r="L175" i="66"/>
  <c r="AA174" i="66"/>
  <c r="U174" i="66"/>
  <c r="T174" i="66"/>
  <c r="P174" i="66"/>
  <c r="M174" i="66"/>
  <c r="L174" i="66"/>
  <c r="AA173" i="66"/>
  <c r="U173" i="66"/>
  <c r="T173" i="66"/>
  <c r="P173" i="66"/>
  <c r="M173" i="66"/>
  <c r="L173" i="66"/>
  <c r="AA172" i="66"/>
  <c r="U172" i="66"/>
  <c r="T172" i="66"/>
  <c r="P172" i="66"/>
  <c r="M172" i="66"/>
  <c r="L172" i="66"/>
  <c r="AA171" i="66"/>
  <c r="U171" i="66"/>
  <c r="T171" i="66"/>
  <c r="P171" i="66"/>
  <c r="M171" i="66"/>
  <c r="L171" i="66"/>
  <c r="AA170" i="66"/>
  <c r="U170" i="66"/>
  <c r="T170" i="66"/>
  <c r="Q170" i="66"/>
  <c r="Q171" i="66" s="1"/>
  <c r="P170" i="66"/>
  <c r="M170" i="66"/>
  <c r="L170" i="66"/>
  <c r="J170" i="66"/>
  <c r="J171" i="66" s="1"/>
  <c r="J172" i="66" s="1"/>
  <c r="J173" i="66" s="1"/>
  <c r="J174" i="66" s="1"/>
  <c r="J175" i="66" s="1"/>
  <c r="J176" i="66" s="1"/>
  <c r="J177" i="66" s="1"/>
  <c r="J178" i="66" s="1"/>
  <c r="J179" i="66" s="1"/>
  <c r="J180" i="66" s="1"/>
  <c r="J181" i="66" s="1"/>
  <c r="J182" i="66" s="1"/>
  <c r="J183" i="66" s="1"/>
  <c r="J184" i="66" s="1"/>
  <c r="J185" i="66" s="1"/>
  <c r="J186" i="66" s="1"/>
  <c r="J187" i="66" s="1"/>
  <c r="J188" i="66" s="1"/>
  <c r="J189" i="66" s="1"/>
  <c r="J190" i="66" s="1"/>
  <c r="J191" i="66" s="1"/>
  <c r="J192" i="66" s="1"/>
  <c r="J193" i="66" s="1"/>
  <c r="J194" i="66" s="1"/>
  <c r="J195" i="66" s="1"/>
  <c r="J196" i="66" s="1"/>
  <c r="J197" i="66" s="1"/>
  <c r="I170" i="66"/>
  <c r="I171" i="66" s="1"/>
  <c r="I172" i="66" s="1"/>
  <c r="I173" i="66" s="1"/>
  <c r="I174" i="66" s="1"/>
  <c r="I175" i="66" s="1"/>
  <c r="I176" i="66" s="1"/>
  <c r="F170" i="66"/>
  <c r="F171" i="66" s="1"/>
  <c r="F172" i="66" s="1"/>
  <c r="F173" i="66" s="1"/>
  <c r="F174" i="66" s="1"/>
  <c r="F175" i="66" s="1"/>
  <c r="F176" i="66" s="1"/>
  <c r="F177" i="66" s="1"/>
  <c r="F178" i="66" s="1"/>
  <c r="F179" i="66" s="1"/>
  <c r="F180" i="66" s="1"/>
  <c r="F181" i="66" s="1"/>
  <c r="F182" i="66" s="1"/>
  <c r="F183" i="66" s="1"/>
  <c r="F184" i="66" s="1"/>
  <c r="F185" i="66" s="1"/>
  <c r="F186" i="66" s="1"/>
  <c r="F187" i="66" s="1"/>
  <c r="F188" i="66" s="1"/>
  <c r="F189" i="66" s="1"/>
  <c r="F190" i="66" s="1"/>
  <c r="F191" i="66" s="1"/>
  <c r="F192" i="66" s="1"/>
  <c r="F193" i="66" s="1"/>
  <c r="F194" i="66" s="1"/>
  <c r="F195" i="66" s="1"/>
  <c r="F196" i="66" s="1"/>
  <c r="F197" i="66" s="1"/>
  <c r="E170" i="66"/>
  <c r="E171" i="66" s="1"/>
  <c r="E172" i="66" s="1"/>
  <c r="E173" i="66" s="1"/>
  <c r="E174" i="66" s="1"/>
  <c r="E175" i="66" s="1"/>
  <c r="E176" i="66" s="1"/>
  <c r="E177" i="66" s="1"/>
  <c r="E178" i="66" s="1"/>
  <c r="E179" i="66" s="1"/>
  <c r="E180" i="66" s="1"/>
  <c r="E181" i="66" s="1"/>
  <c r="E182" i="66" s="1"/>
  <c r="E183" i="66" s="1"/>
  <c r="E184" i="66" s="1"/>
  <c r="E185" i="66" s="1"/>
  <c r="E186" i="66" s="1"/>
  <c r="E187" i="66" s="1"/>
  <c r="E188" i="66" s="1"/>
  <c r="E189" i="66" s="1"/>
  <c r="E190" i="66" s="1"/>
  <c r="E191" i="66" s="1"/>
  <c r="E192" i="66" s="1"/>
  <c r="E193" i="66" s="1"/>
  <c r="E194" i="66" s="1"/>
  <c r="E195" i="66" s="1"/>
  <c r="E196" i="66" s="1"/>
  <c r="E197" i="66" s="1"/>
  <c r="C170" i="66"/>
  <c r="C171" i="66" s="1"/>
  <c r="C172" i="66" s="1"/>
  <c r="C173" i="66" s="1"/>
  <c r="C174" i="66" s="1"/>
  <c r="C175" i="66" s="1"/>
  <c r="C176" i="66" s="1"/>
  <c r="C177" i="66" s="1"/>
  <c r="C178" i="66" s="1"/>
  <c r="C179" i="66" s="1"/>
  <c r="C180" i="66" s="1"/>
  <c r="C181" i="66" s="1"/>
  <c r="C182" i="66" s="1"/>
  <c r="C183" i="66" s="1"/>
  <c r="C184" i="66" s="1"/>
  <c r="C185" i="66" s="1"/>
  <c r="C186" i="66" s="1"/>
  <c r="C187" i="66" s="1"/>
  <c r="C188" i="66" s="1"/>
  <c r="C189" i="66" s="1"/>
  <c r="C190" i="66" s="1"/>
  <c r="C191" i="66" s="1"/>
  <c r="C192" i="66" s="1"/>
  <c r="C193" i="66" s="1"/>
  <c r="C194" i="66" s="1"/>
  <c r="C195" i="66" s="1"/>
  <c r="C196" i="66" s="1"/>
  <c r="C197" i="66" s="1"/>
  <c r="AA169" i="66"/>
  <c r="U169" i="66"/>
  <c r="T169" i="66"/>
  <c r="P169" i="66"/>
  <c r="M169" i="66"/>
  <c r="U142" i="66"/>
  <c r="T142" i="66"/>
  <c r="P142" i="66"/>
  <c r="M142" i="66"/>
  <c r="L142" i="66"/>
  <c r="AA141" i="66"/>
  <c r="U141" i="66"/>
  <c r="T141" i="66"/>
  <c r="P141" i="66"/>
  <c r="M141" i="66"/>
  <c r="L141" i="66"/>
  <c r="AA140" i="66"/>
  <c r="U140" i="66"/>
  <c r="T140" i="66"/>
  <c r="P140" i="66"/>
  <c r="M140" i="66"/>
  <c r="L140" i="66"/>
  <c r="AA139" i="66"/>
  <c r="U139" i="66"/>
  <c r="T139" i="66"/>
  <c r="P139" i="66"/>
  <c r="M139" i="66"/>
  <c r="L139" i="66"/>
  <c r="AA138" i="66"/>
  <c r="U138" i="66"/>
  <c r="T138" i="66"/>
  <c r="P138" i="66"/>
  <c r="M138" i="66"/>
  <c r="L138" i="66"/>
  <c r="AA137" i="66"/>
  <c r="U137" i="66"/>
  <c r="T137" i="66"/>
  <c r="Q137" i="66"/>
  <c r="Q138" i="66" s="1"/>
  <c r="Q139" i="66" s="1"/>
  <c r="Q140" i="66" s="1"/>
  <c r="P137" i="66"/>
  <c r="M137" i="66"/>
  <c r="L137" i="66"/>
  <c r="J137" i="66"/>
  <c r="J138" i="66" s="1"/>
  <c r="J139" i="66" s="1"/>
  <c r="J140" i="66" s="1"/>
  <c r="J141" i="66" s="1"/>
  <c r="J142" i="66" s="1"/>
  <c r="J143" i="66" s="1"/>
  <c r="J144" i="66" s="1"/>
  <c r="J145" i="66" s="1"/>
  <c r="J146" i="66" s="1"/>
  <c r="J147" i="66" s="1"/>
  <c r="J148" i="66" s="1"/>
  <c r="J149" i="66" s="1"/>
  <c r="J150" i="66" s="1"/>
  <c r="J151" i="66" s="1"/>
  <c r="J152" i="66" s="1"/>
  <c r="J153" i="66" s="1"/>
  <c r="J154" i="66" s="1"/>
  <c r="J155" i="66" s="1"/>
  <c r="J156" i="66" s="1"/>
  <c r="J157" i="66" s="1"/>
  <c r="J158" i="66" s="1"/>
  <c r="J159" i="66" s="1"/>
  <c r="J160" i="66" s="1"/>
  <c r="J161" i="66" s="1"/>
  <c r="J162" i="66" s="1"/>
  <c r="J163" i="66" s="1"/>
  <c r="J164" i="66" s="1"/>
  <c r="I137" i="66"/>
  <c r="I138" i="66" s="1"/>
  <c r="I139" i="66" s="1"/>
  <c r="I140" i="66" s="1"/>
  <c r="I141" i="66" s="1"/>
  <c r="I142" i="66" s="1"/>
  <c r="I143" i="66" s="1"/>
  <c r="F137" i="66"/>
  <c r="F138" i="66" s="1"/>
  <c r="F139" i="66" s="1"/>
  <c r="F140" i="66" s="1"/>
  <c r="F141" i="66" s="1"/>
  <c r="F142" i="66" s="1"/>
  <c r="F143" i="66" s="1"/>
  <c r="F144" i="66" s="1"/>
  <c r="F145" i="66" s="1"/>
  <c r="F146" i="66" s="1"/>
  <c r="F147" i="66" s="1"/>
  <c r="F148" i="66" s="1"/>
  <c r="F149" i="66" s="1"/>
  <c r="F150" i="66" s="1"/>
  <c r="F151" i="66" s="1"/>
  <c r="F152" i="66" s="1"/>
  <c r="F153" i="66" s="1"/>
  <c r="F154" i="66" s="1"/>
  <c r="F155" i="66" s="1"/>
  <c r="F156" i="66" s="1"/>
  <c r="F157" i="66" s="1"/>
  <c r="F158" i="66" s="1"/>
  <c r="F159" i="66" s="1"/>
  <c r="F160" i="66" s="1"/>
  <c r="F161" i="66" s="1"/>
  <c r="F162" i="66" s="1"/>
  <c r="F163" i="66" s="1"/>
  <c r="F164" i="66" s="1"/>
  <c r="E137" i="66"/>
  <c r="E138" i="66" s="1"/>
  <c r="E139" i="66" s="1"/>
  <c r="E140" i="66" s="1"/>
  <c r="E141" i="66" s="1"/>
  <c r="E142" i="66" s="1"/>
  <c r="E143" i="66" s="1"/>
  <c r="E144" i="66" s="1"/>
  <c r="E145" i="66" s="1"/>
  <c r="E146" i="66" s="1"/>
  <c r="E147" i="66" s="1"/>
  <c r="E148" i="66" s="1"/>
  <c r="E149" i="66" s="1"/>
  <c r="E150" i="66" s="1"/>
  <c r="E151" i="66" s="1"/>
  <c r="E152" i="66" s="1"/>
  <c r="E153" i="66" s="1"/>
  <c r="E154" i="66" s="1"/>
  <c r="E155" i="66" s="1"/>
  <c r="E156" i="66" s="1"/>
  <c r="E157" i="66" s="1"/>
  <c r="E158" i="66" s="1"/>
  <c r="E159" i="66" s="1"/>
  <c r="E160" i="66" s="1"/>
  <c r="E161" i="66" s="1"/>
  <c r="E162" i="66" s="1"/>
  <c r="E163" i="66" s="1"/>
  <c r="E164" i="66" s="1"/>
  <c r="C137" i="66"/>
  <c r="C138" i="66" s="1"/>
  <c r="C139" i="66" s="1"/>
  <c r="C140" i="66" s="1"/>
  <c r="C141" i="66" s="1"/>
  <c r="C142" i="66" s="1"/>
  <c r="C143" i="66" s="1"/>
  <c r="C144" i="66" s="1"/>
  <c r="C145" i="66" s="1"/>
  <c r="C146" i="66" s="1"/>
  <c r="C147" i="66" s="1"/>
  <c r="C148" i="66" s="1"/>
  <c r="C149" i="66" s="1"/>
  <c r="C150" i="66" s="1"/>
  <c r="C151" i="66" s="1"/>
  <c r="C152" i="66" s="1"/>
  <c r="C153" i="66" s="1"/>
  <c r="C154" i="66" s="1"/>
  <c r="C155" i="66" s="1"/>
  <c r="C156" i="66" s="1"/>
  <c r="C157" i="66" s="1"/>
  <c r="C158" i="66" s="1"/>
  <c r="C159" i="66" s="1"/>
  <c r="C160" i="66" s="1"/>
  <c r="C161" i="66" s="1"/>
  <c r="C162" i="66" s="1"/>
  <c r="C163" i="66" s="1"/>
  <c r="C164" i="66" s="1"/>
  <c r="AA136" i="66"/>
  <c r="U136" i="66"/>
  <c r="T136" i="66"/>
  <c r="P136" i="66"/>
  <c r="M136" i="66"/>
  <c r="L136" i="66"/>
  <c r="U109" i="66"/>
  <c r="T109" i="66"/>
  <c r="P109" i="66"/>
  <c r="M109" i="66"/>
  <c r="L109" i="66"/>
  <c r="AA108" i="66"/>
  <c r="U108" i="66"/>
  <c r="T108" i="66"/>
  <c r="P108" i="66"/>
  <c r="M108" i="66"/>
  <c r="AA107" i="66"/>
  <c r="U107" i="66"/>
  <c r="T107" i="66"/>
  <c r="P107" i="66"/>
  <c r="M107" i="66"/>
  <c r="L107" i="66"/>
  <c r="AA106" i="66"/>
  <c r="U106" i="66"/>
  <c r="T106" i="66"/>
  <c r="P106" i="66"/>
  <c r="M106" i="66"/>
  <c r="L106" i="66"/>
  <c r="AA105" i="66"/>
  <c r="U105" i="66"/>
  <c r="T105" i="66"/>
  <c r="P105" i="66"/>
  <c r="M105" i="66"/>
  <c r="L105" i="66"/>
  <c r="AA104" i="66"/>
  <c r="U104" i="66"/>
  <c r="T104" i="66"/>
  <c r="Q104" i="66"/>
  <c r="Q105" i="66" s="1"/>
  <c r="Q106" i="66" s="1"/>
  <c r="P104" i="66"/>
  <c r="M104" i="66"/>
  <c r="L104" i="66"/>
  <c r="J104" i="66"/>
  <c r="J105" i="66" s="1"/>
  <c r="J106" i="66" s="1"/>
  <c r="J107" i="66" s="1"/>
  <c r="J108" i="66" s="1"/>
  <c r="J109" i="66" s="1"/>
  <c r="J110" i="66" s="1"/>
  <c r="J111" i="66" s="1"/>
  <c r="J112" i="66" s="1"/>
  <c r="J113" i="66" s="1"/>
  <c r="J114" i="66" s="1"/>
  <c r="J115" i="66" s="1"/>
  <c r="J116" i="66" s="1"/>
  <c r="J117" i="66" s="1"/>
  <c r="J118" i="66" s="1"/>
  <c r="J119" i="66" s="1"/>
  <c r="J120" i="66" s="1"/>
  <c r="J121" i="66" s="1"/>
  <c r="J122" i="66" s="1"/>
  <c r="J123" i="66" s="1"/>
  <c r="J124" i="66" s="1"/>
  <c r="J125" i="66" s="1"/>
  <c r="J126" i="66" s="1"/>
  <c r="J127" i="66" s="1"/>
  <c r="J128" i="66" s="1"/>
  <c r="J129" i="66" s="1"/>
  <c r="J130" i="66" s="1"/>
  <c r="J131" i="66" s="1"/>
  <c r="I104" i="66"/>
  <c r="I105" i="66" s="1"/>
  <c r="I106" i="66" s="1"/>
  <c r="I107" i="66" s="1"/>
  <c r="I108" i="66" s="1"/>
  <c r="I109" i="66" s="1"/>
  <c r="I110" i="66" s="1"/>
  <c r="F104" i="66"/>
  <c r="F105" i="66" s="1"/>
  <c r="F106" i="66" s="1"/>
  <c r="F107" i="66" s="1"/>
  <c r="F108" i="66" s="1"/>
  <c r="F109" i="66" s="1"/>
  <c r="F110" i="66" s="1"/>
  <c r="F111" i="66" s="1"/>
  <c r="F112" i="66" s="1"/>
  <c r="F113" i="66" s="1"/>
  <c r="F114" i="66" s="1"/>
  <c r="F115" i="66" s="1"/>
  <c r="F116" i="66" s="1"/>
  <c r="F117" i="66" s="1"/>
  <c r="F118" i="66" s="1"/>
  <c r="F119" i="66" s="1"/>
  <c r="F120" i="66" s="1"/>
  <c r="F121" i="66" s="1"/>
  <c r="F122" i="66" s="1"/>
  <c r="F123" i="66" s="1"/>
  <c r="F124" i="66" s="1"/>
  <c r="F125" i="66" s="1"/>
  <c r="F126" i="66" s="1"/>
  <c r="F127" i="66" s="1"/>
  <c r="F128" i="66" s="1"/>
  <c r="F129" i="66" s="1"/>
  <c r="F130" i="66" s="1"/>
  <c r="F131" i="66" s="1"/>
  <c r="E104" i="66"/>
  <c r="E105" i="66" s="1"/>
  <c r="E106" i="66" s="1"/>
  <c r="E107" i="66" s="1"/>
  <c r="E108" i="66" s="1"/>
  <c r="E109" i="66" s="1"/>
  <c r="E110" i="66" s="1"/>
  <c r="E111" i="66" s="1"/>
  <c r="E112" i="66" s="1"/>
  <c r="E113" i="66" s="1"/>
  <c r="E114" i="66" s="1"/>
  <c r="E115" i="66" s="1"/>
  <c r="E116" i="66" s="1"/>
  <c r="E117" i="66" s="1"/>
  <c r="E118" i="66" s="1"/>
  <c r="E119" i="66" s="1"/>
  <c r="E120" i="66" s="1"/>
  <c r="E121" i="66" s="1"/>
  <c r="E122" i="66" s="1"/>
  <c r="E123" i="66" s="1"/>
  <c r="E124" i="66" s="1"/>
  <c r="E125" i="66" s="1"/>
  <c r="E126" i="66" s="1"/>
  <c r="E127" i="66" s="1"/>
  <c r="E128" i="66" s="1"/>
  <c r="E129" i="66" s="1"/>
  <c r="E130" i="66" s="1"/>
  <c r="E131" i="66" s="1"/>
  <c r="C104" i="66"/>
  <c r="C105" i="66" s="1"/>
  <c r="C106" i="66" s="1"/>
  <c r="C107" i="66" s="1"/>
  <c r="C108" i="66" s="1"/>
  <c r="C109" i="66" s="1"/>
  <c r="C110" i="66" s="1"/>
  <c r="C111" i="66" s="1"/>
  <c r="C112" i="66" s="1"/>
  <c r="C113" i="66" s="1"/>
  <c r="C114" i="66" s="1"/>
  <c r="C115" i="66" s="1"/>
  <c r="C116" i="66" s="1"/>
  <c r="C117" i="66" s="1"/>
  <c r="C118" i="66" s="1"/>
  <c r="C119" i="66" s="1"/>
  <c r="C120" i="66" s="1"/>
  <c r="C121" i="66" s="1"/>
  <c r="C122" i="66" s="1"/>
  <c r="C123" i="66" s="1"/>
  <c r="C124" i="66" s="1"/>
  <c r="C125" i="66" s="1"/>
  <c r="C126" i="66" s="1"/>
  <c r="C127" i="66" s="1"/>
  <c r="C128" i="66" s="1"/>
  <c r="C129" i="66" s="1"/>
  <c r="C130" i="66" s="1"/>
  <c r="C131" i="66" s="1"/>
  <c r="AA103" i="66"/>
  <c r="U103" i="66"/>
  <c r="T103" i="66"/>
  <c r="P103" i="66"/>
  <c r="M103" i="66"/>
  <c r="L103" i="66"/>
  <c r="U77" i="66"/>
  <c r="T77" i="66"/>
  <c r="P77" i="66"/>
  <c r="M77" i="66"/>
  <c r="L77" i="66"/>
  <c r="AA76" i="66"/>
  <c r="U76" i="66"/>
  <c r="T76" i="66"/>
  <c r="P76" i="66"/>
  <c r="M76" i="66"/>
  <c r="L76" i="66"/>
  <c r="AA75" i="66"/>
  <c r="U75" i="66"/>
  <c r="T75" i="66"/>
  <c r="P75" i="66"/>
  <c r="M75" i="66"/>
  <c r="L75" i="66"/>
  <c r="AA74" i="66"/>
  <c r="U74" i="66"/>
  <c r="T74" i="66"/>
  <c r="P74" i="66"/>
  <c r="M74" i="66"/>
  <c r="L74" i="66"/>
  <c r="AA73" i="66"/>
  <c r="U73" i="66"/>
  <c r="T73" i="66"/>
  <c r="P73" i="66"/>
  <c r="M73" i="66"/>
  <c r="L73" i="66"/>
  <c r="AA72" i="66"/>
  <c r="U72" i="66"/>
  <c r="T72" i="66"/>
  <c r="Q72" i="66"/>
  <c r="Q73" i="66" s="1"/>
  <c r="Q74" i="66" s="1"/>
  <c r="Q75" i="66" s="1"/>
  <c r="P72" i="66"/>
  <c r="M72" i="66"/>
  <c r="L72" i="66"/>
  <c r="J72" i="66"/>
  <c r="J73" i="66" s="1"/>
  <c r="J74" i="66" s="1"/>
  <c r="J75" i="66" s="1"/>
  <c r="J76" i="66" s="1"/>
  <c r="J77" i="66" s="1"/>
  <c r="J78" i="66" s="1"/>
  <c r="J79" i="66" s="1"/>
  <c r="J80" i="66" s="1"/>
  <c r="J81" i="66" s="1"/>
  <c r="J82" i="66" s="1"/>
  <c r="J83" i="66" s="1"/>
  <c r="J84" i="66" s="1"/>
  <c r="J85" i="66" s="1"/>
  <c r="J86" i="66" s="1"/>
  <c r="J87" i="66" s="1"/>
  <c r="J88" i="66" s="1"/>
  <c r="J89" i="66" s="1"/>
  <c r="J90" i="66" s="1"/>
  <c r="J91" i="66" s="1"/>
  <c r="J92" i="66" s="1"/>
  <c r="J93" i="66" s="1"/>
  <c r="J94" i="66" s="1"/>
  <c r="J95" i="66" s="1"/>
  <c r="J96" i="66" s="1"/>
  <c r="J97" i="66" s="1"/>
  <c r="J98" i="66" s="1"/>
  <c r="J99" i="66" s="1"/>
  <c r="I72" i="66"/>
  <c r="I73" i="66" s="1"/>
  <c r="I74" i="66" s="1"/>
  <c r="I75" i="66" s="1"/>
  <c r="I76" i="66" s="1"/>
  <c r="I77" i="66" s="1"/>
  <c r="I78" i="66" s="1"/>
  <c r="F72" i="66"/>
  <c r="F73" i="66" s="1"/>
  <c r="F74" i="66" s="1"/>
  <c r="F75" i="66" s="1"/>
  <c r="F76" i="66" s="1"/>
  <c r="F77" i="66" s="1"/>
  <c r="F78" i="66" s="1"/>
  <c r="F79" i="66" s="1"/>
  <c r="F80" i="66" s="1"/>
  <c r="F81" i="66" s="1"/>
  <c r="F82" i="66" s="1"/>
  <c r="F83" i="66" s="1"/>
  <c r="F84" i="66" s="1"/>
  <c r="F85" i="66" s="1"/>
  <c r="F86" i="66" s="1"/>
  <c r="F87" i="66" s="1"/>
  <c r="F88" i="66" s="1"/>
  <c r="F89" i="66" s="1"/>
  <c r="F90" i="66" s="1"/>
  <c r="F91" i="66" s="1"/>
  <c r="F92" i="66" s="1"/>
  <c r="F93" i="66" s="1"/>
  <c r="F94" i="66" s="1"/>
  <c r="F95" i="66" s="1"/>
  <c r="F96" i="66" s="1"/>
  <c r="F97" i="66" s="1"/>
  <c r="F98" i="66" s="1"/>
  <c r="F99" i="66" s="1"/>
  <c r="E72" i="66"/>
  <c r="E73" i="66" s="1"/>
  <c r="E74" i="66" s="1"/>
  <c r="E75" i="66" s="1"/>
  <c r="E76" i="66" s="1"/>
  <c r="E77" i="66" s="1"/>
  <c r="E78" i="66" s="1"/>
  <c r="E79" i="66" s="1"/>
  <c r="E80" i="66" s="1"/>
  <c r="E81" i="66" s="1"/>
  <c r="E82" i="66" s="1"/>
  <c r="E83" i="66" s="1"/>
  <c r="E84" i="66" s="1"/>
  <c r="E85" i="66" s="1"/>
  <c r="E86" i="66" s="1"/>
  <c r="E87" i="66" s="1"/>
  <c r="E88" i="66" s="1"/>
  <c r="E89" i="66" s="1"/>
  <c r="E90" i="66" s="1"/>
  <c r="E91" i="66" s="1"/>
  <c r="E92" i="66" s="1"/>
  <c r="E93" i="66" s="1"/>
  <c r="E94" i="66" s="1"/>
  <c r="E95" i="66" s="1"/>
  <c r="E96" i="66" s="1"/>
  <c r="E97" i="66" s="1"/>
  <c r="E98" i="66" s="1"/>
  <c r="E99" i="66" s="1"/>
  <c r="C72" i="66"/>
  <c r="C73" i="66" s="1"/>
  <c r="C74" i="66" s="1"/>
  <c r="C75" i="66" s="1"/>
  <c r="C76" i="66" s="1"/>
  <c r="C77" i="66" s="1"/>
  <c r="C78" i="66" s="1"/>
  <c r="C79" i="66" s="1"/>
  <c r="C80" i="66" s="1"/>
  <c r="C81" i="66" s="1"/>
  <c r="C82" i="66" s="1"/>
  <c r="C83" i="66" s="1"/>
  <c r="C84" i="66" s="1"/>
  <c r="C85" i="66" s="1"/>
  <c r="C86" i="66" s="1"/>
  <c r="C87" i="66" s="1"/>
  <c r="C88" i="66" s="1"/>
  <c r="C89" i="66" s="1"/>
  <c r="C90" i="66" s="1"/>
  <c r="C91" i="66" s="1"/>
  <c r="C92" i="66" s="1"/>
  <c r="C93" i="66" s="1"/>
  <c r="C94" i="66" s="1"/>
  <c r="C95" i="66" s="1"/>
  <c r="C96" i="66" s="1"/>
  <c r="C97" i="66" s="1"/>
  <c r="C98" i="66" s="1"/>
  <c r="C99" i="66" s="1"/>
  <c r="AA71" i="66"/>
  <c r="U71" i="66"/>
  <c r="T71" i="66"/>
  <c r="P71" i="66"/>
  <c r="M71" i="66"/>
  <c r="L71" i="66"/>
  <c r="U44" i="66"/>
  <c r="T44" i="66"/>
  <c r="P44" i="66"/>
  <c r="M44" i="66"/>
  <c r="L44" i="66"/>
  <c r="AA43" i="66"/>
  <c r="U43" i="66"/>
  <c r="T43" i="66"/>
  <c r="P43" i="66"/>
  <c r="M43" i="66"/>
  <c r="L43" i="66"/>
  <c r="AA42" i="66"/>
  <c r="U42" i="66"/>
  <c r="T42" i="66"/>
  <c r="P42" i="66"/>
  <c r="M42" i="66"/>
  <c r="L42" i="66"/>
  <c r="AA41" i="66"/>
  <c r="U41" i="66"/>
  <c r="T41" i="66"/>
  <c r="P41" i="66"/>
  <c r="M41" i="66"/>
  <c r="L41" i="66"/>
  <c r="AA40" i="66"/>
  <c r="U40" i="66"/>
  <c r="T40" i="66"/>
  <c r="P40" i="66"/>
  <c r="M40" i="66"/>
  <c r="L40" i="66"/>
  <c r="AA39" i="66"/>
  <c r="U39" i="66"/>
  <c r="T39" i="66"/>
  <c r="Q39" i="66"/>
  <c r="Q41" i="66" s="1"/>
  <c r="P39" i="66"/>
  <c r="M39" i="66"/>
  <c r="L39" i="66"/>
  <c r="J39" i="66"/>
  <c r="I39" i="66"/>
  <c r="I41" i="66" s="1"/>
  <c r="I43" i="66" s="1"/>
  <c r="I45" i="66" s="1"/>
  <c r="F39" i="66"/>
  <c r="F40" i="66" s="1"/>
  <c r="F42" i="66" s="1"/>
  <c r="F44" i="66" s="1"/>
  <c r="F46" i="66" s="1"/>
  <c r="F48" i="66" s="1"/>
  <c r="F50" i="66" s="1"/>
  <c r="F52" i="66" s="1"/>
  <c r="F54" i="66" s="1"/>
  <c r="F56" i="66" s="1"/>
  <c r="F58" i="66" s="1"/>
  <c r="F60" i="66" s="1"/>
  <c r="F62" i="66" s="1"/>
  <c r="F64" i="66" s="1"/>
  <c r="F66" i="66" s="1"/>
  <c r="F68" i="66" s="1"/>
  <c r="E39" i="66"/>
  <c r="E40" i="66" s="1"/>
  <c r="E42" i="66" s="1"/>
  <c r="E44" i="66" s="1"/>
  <c r="E46" i="66" s="1"/>
  <c r="E48" i="66" s="1"/>
  <c r="E50" i="66" s="1"/>
  <c r="E52" i="66" s="1"/>
  <c r="E54" i="66" s="1"/>
  <c r="E56" i="66" s="1"/>
  <c r="E58" i="66" s="1"/>
  <c r="E60" i="66" s="1"/>
  <c r="E62" i="66" s="1"/>
  <c r="E64" i="66" s="1"/>
  <c r="E66" i="66" s="1"/>
  <c r="E68" i="66" s="1"/>
  <c r="C39" i="66"/>
  <c r="C41" i="66" s="1"/>
  <c r="C43" i="66" s="1"/>
  <c r="C45" i="66" s="1"/>
  <c r="C47" i="66" s="1"/>
  <c r="C49" i="66" s="1"/>
  <c r="C51" i="66" s="1"/>
  <c r="C53" i="66" s="1"/>
  <c r="C55" i="66" s="1"/>
  <c r="C57" i="66" s="1"/>
  <c r="C59" i="66" s="1"/>
  <c r="C61" i="66" s="1"/>
  <c r="C63" i="66" s="1"/>
  <c r="C65" i="66" s="1"/>
  <c r="C67" i="66" s="1"/>
  <c r="AA38" i="66"/>
  <c r="U38" i="66"/>
  <c r="T38" i="66"/>
  <c r="P38" i="66"/>
  <c r="M38" i="66"/>
  <c r="L38" i="66"/>
  <c r="U12" i="66"/>
  <c r="T12" i="66"/>
  <c r="P12" i="66"/>
  <c r="M12" i="66"/>
  <c r="L12" i="66"/>
  <c r="AA11" i="66"/>
  <c r="U11" i="66"/>
  <c r="T11" i="66"/>
  <c r="P11" i="66"/>
  <c r="M11" i="66"/>
  <c r="L11" i="66"/>
  <c r="AA10" i="66"/>
  <c r="U10" i="66"/>
  <c r="T10" i="66"/>
  <c r="P10" i="66"/>
  <c r="M10" i="66"/>
  <c r="L10" i="66"/>
  <c r="AA9" i="66"/>
  <c r="U9" i="66"/>
  <c r="T9" i="66"/>
  <c r="P9" i="66"/>
  <c r="M9" i="66"/>
  <c r="L9" i="66"/>
  <c r="AA8" i="66"/>
  <c r="U8" i="66"/>
  <c r="P8" i="66"/>
  <c r="M8" i="66"/>
  <c r="L8" i="66"/>
  <c r="AA7" i="66"/>
  <c r="U7" i="66"/>
  <c r="T7" i="66"/>
  <c r="Q7" i="66"/>
  <c r="P7" i="66"/>
  <c r="M7" i="66"/>
  <c r="L7" i="66"/>
  <c r="J7" i="66"/>
  <c r="J8" i="66" s="1"/>
  <c r="J9" i="66" s="1"/>
  <c r="J10" i="66" s="1"/>
  <c r="J11" i="66" s="1"/>
  <c r="J12" i="66" s="1"/>
  <c r="J13" i="66" s="1"/>
  <c r="J14" i="66" s="1"/>
  <c r="I7" i="66"/>
  <c r="I8" i="66" s="1"/>
  <c r="I9" i="66" s="1"/>
  <c r="I10" i="66" s="1"/>
  <c r="I11" i="66" s="1"/>
  <c r="I12" i="66" s="1"/>
  <c r="I13" i="66" s="1"/>
  <c r="I14" i="66" s="1"/>
  <c r="F7" i="66"/>
  <c r="F8" i="66" s="1"/>
  <c r="F9" i="66" s="1"/>
  <c r="F10" i="66" s="1"/>
  <c r="F11" i="66" s="1"/>
  <c r="F12" i="66" s="1"/>
  <c r="F13" i="66" s="1"/>
  <c r="F14" i="66" s="1"/>
  <c r="E7" i="66"/>
  <c r="E8" i="66" s="1"/>
  <c r="E9" i="66" s="1"/>
  <c r="E10" i="66" s="1"/>
  <c r="E11" i="66" s="1"/>
  <c r="E12" i="66" s="1"/>
  <c r="E13" i="66" s="1"/>
  <c r="E14" i="66" s="1"/>
  <c r="C7" i="66"/>
  <c r="C8" i="66" s="1"/>
  <c r="C9" i="66" s="1"/>
  <c r="C10" i="66" s="1"/>
  <c r="C11" i="66" s="1"/>
  <c r="C12" i="66" s="1"/>
  <c r="C13" i="66" s="1"/>
  <c r="C14" i="66" s="1"/>
  <c r="AA6" i="66"/>
  <c r="U6" i="66"/>
  <c r="T6" i="66"/>
  <c r="P6" i="66"/>
  <c r="M6" i="66"/>
  <c r="L6" i="66"/>
  <c r="F198" i="66" l="1"/>
  <c r="F199" i="66" s="1"/>
  <c r="F200" i="66" s="1"/>
  <c r="J365" i="66"/>
  <c r="J366" i="66" s="1"/>
  <c r="J367" i="66" s="1"/>
  <c r="J368" i="66" s="1"/>
  <c r="C530" i="66"/>
  <c r="C531" i="66" s="1"/>
  <c r="C532" i="66" s="1"/>
  <c r="C533" i="66" s="1"/>
  <c r="D631" i="66"/>
  <c r="D632" i="66" s="1"/>
  <c r="J100" i="66"/>
  <c r="J101" i="66" s="1"/>
  <c r="E165" i="66"/>
  <c r="E166" i="66" s="1"/>
  <c r="E167" i="66" s="1"/>
  <c r="E299" i="66"/>
  <c r="E300" i="66" s="1"/>
  <c r="E301" i="66" s="1"/>
  <c r="F332" i="66"/>
  <c r="F333" i="66" s="1"/>
  <c r="E365" i="66"/>
  <c r="E366" i="66" s="1"/>
  <c r="E367" i="66" s="1"/>
  <c r="E368" i="66" s="1"/>
  <c r="B399" i="66"/>
  <c r="B400" i="66" s="1"/>
  <c r="B401" i="66" s="1"/>
  <c r="H399" i="66"/>
  <c r="H400" i="66" s="1"/>
  <c r="H401" i="66" s="1"/>
  <c r="E432" i="66"/>
  <c r="E433" i="66" s="1"/>
  <c r="D530" i="66"/>
  <c r="D531" i="66" s="1"/>
  <c r="D532" i="66" s="1"/>
  <c r="D533" i="66" s="1"/>
  <c r="J530" i="66"/>
  <c r="J531" i="66" s="1"/>
  <c r="J532" i="66" s="1"/>
  <c r="J533" i="66" s="1"/>
  <c r="F564" i="66"/>
  <c r="F565" i="66" s="1"/>
  <c r="F566" i="66" s="1"/>
  <c r="D597" i="66"/>
  <c r="D598" i="66" s="1"/>
  <c r="D599" i="66" s="1"/>
  <c r="D600" i="66" s="1"/>
  <c r="J597" i="66"/>
  <c r="J598" i="66" s="1"/>
  <c r="J599" i="66" s="1"/>
  <c r="J600" i="66" s="1"/>
  <c r="E631" i="66"/>
  <c r="E632" i="66" s="1"/>
  <c r="E332" i="66"/>
  <c r="E333" i="66" s="1"/>
  <c r="J432" i="66"/>
  <c r="J433" i="66" s="1"/>
  <c r="C597" i="66"/>
  <c r="C598" i="66" s="1"/>
  <c r="C599" i="66" s="1"/>
  <c r="C600" i="66" s="1"/>
  <c r="C132" i="66"/>
  <c r="C133" i="66" s="1"/>
  <c r="C134" i="66" s="1"/>
  <c r="F165" i="66"/>
  <c r="F166" i="66" s="1"/>
  <c r="F167" i="66" s="1"/>
  <c r="J198" i="66"/>
  <c r="J199" i="66" s="1"/>
  <c r="J200" i="66" s="1"/>
  <c r="F266" i="66"/>
  <c r="F267" i="66" s="1"/>
  <c r="F268" i="66" s="1"/>
  <c r="F299" i="66"/>
  <c r="F300" i="66" s="1"/>
  <c r="F301" i="66" s="1"/>
  <c r="F365" i="66"/>
  <c r="F366" i="66" s="1"/>
  <c r="F367" i="66" s="1"/>
  <c r="F368" i="66" s="1"/>
  <c r="C399" i="66"/>
  <c r="C400" i="66" s="1"/>
  <c r="C401" i="66" s="1"/>
  <c r="F432" i="66"/>
  <c r="F433" i="66" s="1"/>
  <c r="E530" i="66"/>
  <c r="E531" i="66" s="1"/>
  <c r="E532" i="66" s="1"/>
  <c r="E533" i="66" s="1"/>
  <c r="G564" i="66"/>
  <c r="G565" i="66" s="1"/>
  <c r="G566" i="66" s="1"/>
  <c r="E597" i="66"/>
  <c r="E598" i="66" s="1"/>
  <c r="E599" i="66" s="1"/>
  <c r="E600" i="66" s="1"/>
  <c r="F631" i="66"/>
  <c r="F632" i="66" s="1"/>
  <c r="J132" i="66"/>
  <c r="J133" i="66" s="1"/>
  <c r="J134" i="66" s="1"/>
  <c r="C266" i="66"/>
  <c r="C268" i="66" s="1"/>
  <c r="C299" i="66"/>
  <c r="C300" i="66" s="1"/>
  <c r="C301" i="66" s="1"/>
  <c r="I597" i="66"/>
  <c r="I598" i="66" s="1"/>
  <c r="I599" i="66" s="1"/>
  <c r="I600" i="66" s="1"/>
  <c r="C100" i="66"/>
  <c r="C101" i="66" s="1"/>
  <c r="E132" i="66"/>
  <c r="E133" i="66" s="1"/>
  <c r="E134" i="66" s="1"/>
  <c r="J332" i="66"/>
  <c r="J333" i="66" s="1"/>
  <c r="G365" i="66"/>
  <c r="G366" i="66" s="1"/>
  <c r="G367" i="66" s="1"/>
  <c r="G368" i="66" s="1"/>
  <c r="D399" i="66"/>
  <c r="D400" i="66" s="1"/>
  <c r="D401" i="66" s="1"/>
  <c r="J399" i="66"/>
  <c r="J400" i="66" s="1"/>
  <c r="J401" i="66" s="1"/>
  <c r="G432" i="66"/>
  <c r="G433" i="66" s="1"/>
  <c r="F530" i="66"/>
  <c r="F531" i="66" s="1"/>
  <c r="F532" i="66" s="1"/>
  <c r="F533" i="66" s="1"/>
  <c r="B564" i="66"/>
  <c r="B565" i="66" s="1"/>
  <c r="B566" i="66" s="1"/>
  <c r="H564" i="66"/>
  <c r="H565" i="66" s="1"/>
  <c r="H566" i="66" s="1"/>
  <c r="F597" i="66"/>
  <c r="F598" i="66" s="1"/>
  <c r="F599" i="66" s="1"/>
  <c r="F600" i="66" s="1"/>
  <c r="G631" i="66"/>
  <c r="G632" i="66" s="1"/>
  <c r="C165" i="66"/>
  <c r="C166" i="66" s="1"/>
  <c r="C167" i="66" s="1"/>
  <c r="D365" i="66"/>
  <c r="D366" i="66" s="1"/>
  <c r="D367" i="66" s="1"/>
  <c r="D368" i="66" s="1"/>
  <c r="D432" i="66"/>
  <c r="D433" i="66" s="1"/>
  <c r="J631" i="66"/>
  <c r="J632" i="66" s="1"/>
  <c r="E100" i="66"/>
  <c r="E101" i="66" s="1"/>
  <c r="F132" i="66"/>
  <c r="F133" i="66" s="1"/>
  <c r="F134" i="66" s="1"/>
  <c r="J165" i="66"/>
  <c r="J166" i="66" s="1"/>
  <c r="J167" i="66" s="1"/>
  <c r="C198" i="66"/>
  <c r="C199" i="66" s="1"/>
  <c r="C200" i="66" s="1"/>
  <c r="J266" i="66"/>
  <c r="J267" i="66" s="1"/>
  <c r="J268" i="66" s="1"/>
  <c r="J299" i="66"/>
  <c r="J300" i="66" s="1"/>
  <c r="J301" i="66" s="1"/>
  <c r="B365" i="66"/>
  <c r="B366" i="66" s="1"/>
  <c r="B367" i="66" s="1"/>
  <c r="B368" i="66" s="1"/>
  <c r="H365" i="66"/>
  <c r="H366" i="66" s="1"/>
  <c r="H367" i="66" s="1"/>
  <c r="H368" i="66" s="1"/>
  <c r="E399" i="66"/>
  <c r="E400" i="66" s="1"/>
  <c r="E401" i="66" s="1"/>
  <c r="B432" i="66"/>
  <c r="B433" i="66" s="1"/>
  <c r="H432" i="66"/>
  <c r="H433" i="66" s="1"/>
  <c r="G530" i="66"/>
  <c r="G531" i="66" s="1"/>
  <c r="G532" i="66" s="1"/>
  <c r="G533" i="66" s="1"/>
  <c r="C564" i="66"/>
  <c r="C565" i="66" s="1"/>
  <c r="C566" i="66" s="1"/>
  <c r="I564" i="66"/>
  <c r="I565" i="66" s="1"/>
  <c r="I566" i="66" s="1"/>
  <c r="G597" i="66"/>
  <c r="G598" i="66" s="1"/>
  <c r="G599" i="66" s="1"/>
  <c r="G600" i="66" s="1"/>
  <c r="B631" i="66"/>
  <c r="B632" i="66" s="1"/>
  <c r="H631" i="66"/>
  <c r="H632" i="66" s="1"/>
  <c r="G399" i="66"/>
  <c r="G400" i="66" s="1"/>
  <c r="G401" i="66" s="1"/>
  <c r="E564" i="66"/>
  <c r="E565" i="66" s="1"/>
  <c r="E566" i="66" s="1"/>
  <c r="F100" i="66"/>
  <c r="F101" i="66" s="1"/>
  <c r="E198" i="66"/>
  <c r="E199" i="66" s="1"/>
  <c r="E200" i="66" s="1"/>
  <c r="C332" i="66"/>
  <c r="C333" i="66" s="1"/>
  <c r="C365" i="66"/>
  <c r="C366" i="66" s="1"/>
  <c r="C367" i="66" s="1"/>
  <c r="C368" i="66" s="1"/>
  <c r="F399" i="66"/>
  <c r="F400" i="66" s="1"/>
  <c r="F401" i="66" s="1"/>
  <c r="C432" i="66"/>
  <c r="C433" i="66" s="1"/>
  <c r="B530" i="66"/>
  <c r="B531" i="66" s="1"/>
  <c r="B532" i="66" s="1"/>
  <c r="B533" i="66" s="1"/>
  <c r="H530" i="66"/>
  <c r="H531" i="66" s="1"/>
  <c r="H532" i="66" s="1"/>
  <c r="H533" i="66" s="1"/>
  <c r="D564" i="66"/>
  <c r="D565" i="66" s="1"/>
  <c r="D566" i="66" s="1"/>
  <c r="J564" i="66"/>
  <c r="J565" i="66" s="1"/>
  <c r="J566" i="66" s="1"/>
  <c r="B597" i="66"/>
  <c r="B598" i="66" s="1"/>
  <c r="B599" i="66" s="1"/>
  <c r="B600" i="66" s="1"/>
  <c r="H597" i="66"/>
  <c r="H598" i="66" s="1"/>
  <c r="H599" i="66" s="1"/>
  <c r="H600" i="66" s="1"/>
  <c r="C631" i="66"/>
  <c r="C632" i="66" s="1"/>
  <c r="I631" i="66"/>
  <c r="I632" i="66" s="1"/>
  <c r="I35" i="61"/>
  <c r="H36" i="61"/>
  <c r="H36" i="65"/>
  <c r="I35" i="65"/>
  <c r="V525" i="66"/>
  <c r="U526" i="66"/>
  <c r="M461" i="66"/>
  <c r="N460" i="66"/>
  <c r="Y460" i="66" s="1"/>
  <c r="V326" i="66"/>
  <c r="U327" i="66"/>
  <c r="N326" i="66"/>
  <c r="M327" i="66"/>
  <c r="U264" i="66"/>
  <c r="V263" i="66"/>
  <c r="M264" i="66"/>
  <c r="N263" i="66"/>
  <c r="I26" i="58"/>
  <c r="H27" i="58"/>
  <c r="I26" i="59"/>
  <c r="H27" i="59"/>
  <c r="I26" i="56"/>
  <c r="H27" i="56"/>
  <c r="D656" i="66"/>
  <c r="D657" i="66" s="1"/>
  <c r="D658" i="66" s="1"/>
  <c r="D659" i="66" s="1"/>
  <c r="D660" i="66" s="1"/>
  <c r="D661" i="66" s="1"/>
  <c r="D662" i="66" s="1"/>
  <c r="D663" i="66" s="1"/>
  <c r="N27" i="66"/>
  <c r="E656" i="66"/>
  <c r="E657" i="66" s="1"/>
  <c r="E658" i="66" s="1"/>
  <c r="E659" i="66" s="1"/>
  <c r="E660" i="66" s="1"/>
  <c r="E661" i="66" s="1"/>
  <c r="E662" i="66" s="1"/>
  <c r="E663" i="66" s="1"/>
  <c r="I656" i="66"/>
  <c r="I657" i="66" s="1"/>
  <c r="I658" i="66" s="1"/>
  <c r="I659" i="66" s="1"/>
  <c r="I660" i="66" s="1"/>
  <c r="I661" i="66" s="1"/>
  <c r="I662" i="66" s="1"/>
  <c r="I663" i="66" s="1"/>
  <c r="B656" i="66"/>
  <c r="B657" i="66" s="1"/>
  <c r="B658" i="66" s="1"/>
  <c r="B659" i="66" s="1"/>
  <c r="B660" i="66" s="1"/>
  <c r="B661" i="66" s="1"/>
  <c r="B662" i="66" s="1"/>
  <c r="B663" i="66" s="1"/>
  <c r="F656" i="66"/>
  <c r="F657" i="66" s="1"/>
  <c r="F658" i="66" s="1"/>
  <c r="F659" i="66" s="1"/>
  <c r="F660" i="66" s="1"/>
  <c r="F661" i="66" s="1"/>
  <c r="F662" i="66" s="1"/>
  <c r="F663" i="66" s="1"/>
  <c r="J656" i="66"/>
  <c r="J657" i="66" s="1"/>
  <c r="J658" i="66" s="1"/>
  <c r="J659" i="66" s="1"/>
  <c r="J660" i="66" s="1"/>
  <c r="J661" i="66" s="1"/>
  <c r="J662" i="66" s="1"/>
  <c r="J663" i="66" s="1"/>
  <c r="C656" i="66"/>
  <c r="C657" i="66" s="1"/>
  <c r="C658" i="66" s="1"/>
  <c r="C659" i="66" s="1"/>
  <c r="C660" i="66" s="1"/>
  <c r="C661" i="66" s="1"/>
  <c r="C662" i="66" s="1"/>
  <c r="C663" i="66" s="1"/>
  <c r="G656" i="66"/>
  <c r="G657" i="66" s="1"/>
  <c r="G658" i="66" s="1"/>
  <c r="G659" i="66" s="1"/>
  <c r="G660" i="66" s="1"/>
  <c r="G661" i="66" s="1"/>
  <c r="G662" i="66" s="1"/>
  <c r="G663" i="66" s="1"/>
  <c r="V27" i="66"/>
  <c r="C223" i="66"/>
  <c r="C224" i="66" s="1"/>
  <c r="C225" i="66" s="1"/>
  <c r="C226" i="66" s="1"/>
  <c r="C227" i="66" s="1"/>
  <c r="C228" i="66" s="1"/>
  <c r="C229" i="66" s="1"/>
  <c r="C230" i="66" s="1"/>
  <c r="J223" i="66"/>
  <c r="J224" i="66" s="1"/>
  <c r="J225" i="66" s="1"/>
  <c r="J226" i="66" s="1"/>
  <c r="J227" i="66" s="1"/>
  <c r="J228" i="66" s="1"/>
  <c r="J229" i="66" s="1"/>
  <c r="J230" i="66" s="1"/>
  <c r="E223" i="66"/>
  <c r="E224" i="66" s="1"/>
  <c r="E225" i="66" s="1"/>
  <c r="E226" i="66" s="1"/>
  <c r="E227" i="66" s="1"/>
  <c r="E228" i="66" s="1"/>
  <c r="E229" i="66" s="1"/>
  <c r="E230" i="66" s="1"/>
  <c r="F223" i="66"/>
  <c r="F224" i="66" s="1"/>
  <c r="F225" i="66" s="1"/>
  <c r="F226" i="66" s="1"/>
  <c r="F227" i="66" s="1"/>
  <c r="F228" i="66" s="1"/>
  <c r="F229" i="66" s="1"/>
  <c r="F230" i="66" s="1"/>
  <c r="H25" i="53"/>
  <c r="I24" i="53"/>
  <c r="H26" i="63"/>
  <c r="I25" i="63"/>
  <c r="H26" i="55"/>
  <c r="I25" i="55"/>
  <c r="H26" i="52"/>
  <c r="I25" i="52"/>
  <c r="H26" i="51"/>
  <c r="I25" i="51"/>
  <c r="H26" i="54"/>
  <c r="I25" i="54"/>
  <c r="H26" i="60"/>
  <c r="I25" i="60"/>
  <c r="R512" i="66"/>
  <c r="Q517" i="66"/>
  <c r="Q452" i="66"/>
  <c r="R451" i="66"/>
  <c r="I210" i="66"/>
  <c r="J41" i="66"/>
  <c r="J43" i="66" s="1"/>
  <c r="J45" i="66" s="1"/>
  <c r="J47" i="66" s="1"/>
  <c r="J49" i="66" s="1"/>
  <c r="J51" i="66" s="1"/>
  <c r="J53" i="66" s="1"/>
  <c r="J55" i="66" s="1"/>
  <c r="J57" i="66" s="1"/>
  <c r="J59" i="66" s="1"/>
  <c r="J61" i="66" s="1"/>
  <c r="J63" i="66" s="1"/>
  <c r="J65" i="66" s="1"/>
  <c r="J67" i="66" s="1"/>
  <c r="J40" i="66"/>
  <c r="J42" i="66" s="1"/>
  <c r="J44" i="66" s="1"/>
  <c r="J46" i="66" s="1"/>
  <c r="J48" i="66" s="1"/>
  <c r="J50" i="66" s="1"/>
  <c r="J52" i="66" s="1"/>
  <c r="J54" i="66" s="1"/>
  <c r="J56" i="66" s="1"/>
  <c r="J58" i="66" s="1"/>
  <c r="J60" i="66" s="1"/>
  <c r="J62" i="66" s="1"/>
  <c r="J64" i="66" s="1"/>
  <c r="J66" i="66" s="1"/>
  <c r="J68" i="66" s="1"/>
  <c r="M509" i="66"/>
  <c r="U543" i="66"/>
  <c r="M543" i="66"/>
  <c r="Q543" i="66"/>
  <c r="I509" i="66"/>
  <c r="U477" i="66"/>
  <c r="M477" i="66"/>
  <c r="I411" i="66"/>
  <c r="Q246" i="66"/>
  <c r="I378" i="66"/>
  <c r="I344" i="66"/>
  <c r="I311" i="66"/>
  <c r="I278" i="66"/>
  <c r="I245" i="66"/>
  <c r="I177" i="66"/>
  <c r="I144" i="66"/>
  <c r="I111" i="66"/>
  <c r="I79" i="66"/>
  <c r="I47" i="66"/>
  <c r="I26" i="66"/>
  <c r="I27" i="66" s="1"/>
  <c r="I15" i="66"/>
  <c r="J26" i="66"/>
  <c r="J27" i="66" s="1"/>
  <c r="J15" i="66"/>
  <c r="E26" i="66"/>
  <c r="E27" i="66" s="1"/>
  <c r="E15" i="66"/>
  <c r="C26" i="66"/>
  <c r="C27" i="66" s="1"/>
  <c r="C15" i="66"/>
  <c r="F26" i="66"/>
  <c r="F27" i="66" s="1"/>
  <c r="F15" i="66"/>
  <c r="C239" i="66"/>
  <c r="C241" i="66" s="1"/>
  <c r="C243" i="66" s="1"/>
  <c r="C245" i="66" s="1"/>
  <c r="C247" i="66" s="1"/>
  <c r="C249" i="66" s="1"/>
  <c r="C251" i="66" s="1"/>
  <c r="C253" i="66" s="1"/>
  <c r="C255" i="66" s="1"/>
  <c r="C257" i="66" s="1"/>
  <c r="C259" i="66" s="1"/>
  <c r="C261" i="66" s="1"/>
  <c r="C263" i="66" s="1"/>
  <c r="C265" i="66" s="1"/>
  <c r="C267" i="66" s="1"/>
  <c r="Q239" i="66"/>
  <c r="Q241" i="66" s="1"/>
  <c r="Q243" i="66" s="1"/>
  <c r="Q245" i="66" s="1"/>
  <c r="V26" i="66"/>
  <c r="E41" i="66"/>
  <c r="E43" i="66" s="1"/>
  <c r="E45" i="66" s="1"/>
  <c r="E47" i="66" s="1"/>
  <c r="E49" i="66" s="1"/>
  <c r="E51" i="66" s="1"/>
  <c r="E53" i="66" s="1"/>
  <c r="E55" i="66" s="1"/>
  <c r="E57" i="66" s="1"/>
  <c r="E59" i="66" s="1"/>
  <c r="E61" i="66" s="1"/>
  <c r="E63" i="66" s="1"/>
  <c r="E65" i="66" s="1"/>
  <c r="E67" i="66" s="1"/>
  <c r="E240" i="66"/>
  <c r="E242" i="66" s="1"/>
  <c r="E244" i="66" s="1"/>
  <c r="E246" i="66" s="1"/>
  <c r="E248" i="66" s="1"/>
  <c r="E250" i="66" s="1"/>
  <c r="E252" i="66" s="1"/>
  <c r="E254" i="66" s="1"/>
  <c r="E256" i="66" s="1"/>
  <c r="E258" i="66" s="1"/>
  <c r="E260" i="66" s="1"/>
  <c r="E262" i="66" s="1"/>
  <c r="E264" i="66" s="1"/>
  <c r="N26" i="66"/>
  <c r="V507" i="66"/>
  <c r="Q43" i="66"/>
  <c r="Q45" i="66" s="1"/>
  <c r="Q107" i="66"/>
  <c r="Q108" i="66" s="1"/>
  <c r="Q109" i="66" s="1"/>
  <c r="Q110" i="66" s="1"/>
  <c r="Q141" i="66"/>
  <c r="Q8" i="66"/>
  <c r="Q207" i="66"/>
  <c r="Q208" i="66" s="1"/>
  <c r="Q209" i="66" s="1"/>
  <c r="Q306" i="66"/>
  <c r="Q307" i="66" s="1"/>
  <c r="Q308" i="66" s="1"/>
  <c r="Q309" i="66" s="1"/>
  <c r="Q310" i="66" s="1"/>
  <c r="Q172" i="66"/>
  <c r="Q173" i="66" s="1"/>
  <c r="Q174" i="66" s="1"/>
  <c r="Q175" i="66" s="1"/>
  <c r="Q176" i="66" s="1"/>
  <c r="Q76" i="66"/>
  <c r="Q341" i="66"/>
  <c r="F41" i="66"/>
  <c r="F43" i="66" s="1"/>
  <c r="F45" i="66" s="1"/>
  <c r="F47" i="66" s="1"/>
  <c r="F49" i="66" s="1"/>
  <c r="F51" i="66" s="1"/>
  <c r="F53" i="66" s="1"/>
  <c r="F55" i="66" s="1"/>
  <c r="F57" i="66" s="1"/>
  <c r="F59" i="66" s="1"/>
  <c r="F61" i="66" s="1"/>
  <c r="F63" i="66" s="1"/>
  <c r="F65" i="66" s="1"/>
  <c r="F67" i="66" s="1"/>
  <c r="I40" i="66"/>
  <c r="I42" i="66" s="1"/>
  <c r="I44" i="66" s="1"/>
  <c r="I46" i="66" s="1"/>
  <c r="Q40" i="66"/>
  <c r="Q42" i="66" s="1"/>
  <c r="Q44" i="66" s="1"/>
  <c r="Q46" i="66" s="1"/>
  <c r="C40" i="66"/>
  <c r="C42" i="66" s="1"/>
  <c r="C44" i="66" s="1"/>
  <c r="C46" i="66" s="1"/>
  <c r="C48" i="66" s="1"/>
  <c r="C50" i="66" s="1"/>
  <c r="C52" i="66" s="1"/>
  <c r="C54" i="66" s="1"/>
  <c r="C56" i="66" s="1"/>
  <c r="C58" i="66" s="1"/>
  <c r="C60" i="66" s="1"/>
  <c r="C62" i="66" s="1"/>
  <c r="C64" i="66" s="1"/>
  <c r="C66" i="66" s="1"/>
  <c r="C68" i="66" s="1"/>
  <c r="Q408" i="66"/>
  <c r="Q473" i="66"/>
  <c r="Q373" i="66"/>
  <c r="R507" i="66"/>
  <c r="M638" i="66"/>
  <c r="M639" i="66" s="1"/>
  <c r="Q573" i="66"/>
  <c r="Q574" i="66" s="1"/>
  <c r="Q575" i="66" s="1"/>
  <c r="Q605" i="66"/>
  <c r="Q606" i="66" s="1"/>
  <c r="Q607" i="66" s="1"/>
  <c r="Q608" i="66" s="1"/>
  <c r="Q609" i="66" s="1"/>
  <c r="U638" i="66"/>
  <c r="U639" i="66" s="1"/>
  <c r="Q638" i="66"/>
  <c r="Q639" i="66" s="1"/>
  <c r="M570" i="66"/>
  <c r="U570" i="66"/>
  <c r="Q16" i="63"/>
  <c r="K16" i="63"/>
  <c r="F16" i="63"/>
  <c r="E16" i="63"/>
  <c r="P411" i="66" s="1"/>
  <c r="Q16" i="62"/>
  <c r="P16" i="62"/>
  <c r="K16" i="62"/>
  <c r="J16" i="62"/>
  <c r="F16" i="62"/>
  <c r="E16" i="62"/>
  <c r="K16" i="61"/>
  <c r="S344" i="66" s="1"/>
  <c r="J16" i="61"/>
  <c r="Q16" i="61"/>
  <c r="K344" i="66" s="1"/>
  <c r="P16" i="61"/>
  <c r="F16" i="61"/>
  <c r="E16" i="61"/>
  <c r="K16" i="60"/>
  <c r="S311" i="66" s="1"/>
  <c r="J16" i="60"/>
  <c r="Q16" i="60"/>
  <c r="Q18" i="60"/>
  <c r="F16" i="60"/>
  <c r="E16" i="60"/>
  <c r="K18" i="59"/>
  <c r="K16" i="59"/>
  <c r="S278" i="66" s="1"/>
  <c r="V278" i="66" s="1"/>
  <c r="Q18" i="59"/>
  <c r="Q16" i="59"/>
  <c r="K278" i="66" s="1"/>
  <c r="N278" i="66" s="1"/>
  <c r="F16" i="59"/>
  <c r="K16" i="56"/>
  <c r="K18" i="56"/>
  <c r="Q16" i="56"/>
  <c r="F16" i="56"/>
  <c r="F18" i="56"/>
  <c r="Q16" i="55"/>
  <c r="P16" i="55"/>
  <c r="L144" i="66" s="1"/>
  <c r="K16" i="55"/>
  <c r="S144" i="66" s="1"/>
  <c r="F16" i="55"/>
  <c r="O144" i="66" s="1"/>
  <c r="J16" i="55"/>
  <c r="E16" i="55"/>
  <c r="J16" i="53"/>
  <c r="T79" i="66" s="1"/>
  <c r="P16" i="53"/>
  <c r="Q18" i="52"/>
  <c r="Q16" i="52"/>
  <c r="K16" i="52"/>
  <c r="S46" i="66" s="1"/>
  <c r="V46" i="66" s="1"/>
  <c r="F16" i="52"/>
  <c r="Q18" i="51"/>
  <c r="Q41" i="48"/>
  <c r="Q39" i="48"/>
  <c r="K39" i="48"/>
  <c r="F39" i="48"/>
  <c r="F41" i="48"/>
  <c r="K41" i="48"/>
  <c r="Q18" i="65"/>
  <c r="K18" i="65"/>
  <c r="F18" i="65"/>
  <c r="O479" i="66" s="1"/>
  <c r="Q18" i="64"/>
  <c r="K18" i="64"/>
  <c r="F18" i="64"/>
  <c r="O446" i="66" s="1"/>
  <c r="R446" i="66" s="1"/>
  <c r="Q18" i="63"/>
  <c r="K413" i="66" s="1"/>
  <c r="N413" i="66" s="1"/>
  <c r="K18" i="63"/>
  <c r="F18" i="59"/>
  <c r="Q18" i="58"/>
  <c r="K18" i="58"/>
  <c r="F18" i="58"/>
  <c r="Q18" i="57"/>
  <c r="K18" i="57"/>
  <c r="F18" i="57"/>
  <c r="O212" i="66" s="1"/>
  <c r="Q18" i="56"/>
  <c r="Q18" i="54"/>
  <c r="K18" i="54"/>
  <c r="F18" i="54"/>
  <c r="F18" i="53"/>
  <c r="K18" i="52"/>
  <c r="F18" i="52"/>
  <c r="K18" i="51"/>
  <c r="F18" i="51"/>
  <c r="O16" i="66" s="1"/>
  <c r="Q37" i="49"/>
  <c r="L37" i="49"/>
  <c r="F37" i="49"/>
  <c r="Q41" i="44"/>
  <c r="L41" i="44"/>
  <c r="G41" i="44"/>
  <c r="Q41" i="45"/>
  <c r="L41" i="45"/>
  <c r="F41" i="45"/>
  <c r="Q47" i="46"/>
  <c r="F47" i="46"/>
  <c r="L47" i="46"/>
  <c r="E266" i="66" l="1"/>
  <c r="E268" i="66" s="1"/>
  <c r="G664" i="66"/>
  <c r="G665" i="66" s="1"/>
  <c r="I664" i="66"/>
  <c r="I665" i="66" s="1"/>
  <c r="C664" i="66"/>
  <c r="C665" i="66" s="1"/>
  <c r="E664" i="66"/>
  <c r="E665" i="66" s="1"/>
  <c r="F232" i="66"/>
  <c r="F233" i="66" s="1"/>
  <c r="F234" i="66" s="1"/>
  <c r="F231" i="66"/>
  <c r="E231" i="66"/>
  <c r="E232" i="66" s="1"/>
  <c r="E233" i="66" s="1"/>
  <c r="E234" i="66" s="1"/>
  <c r="J664" i="66"/>
  <c r="J665" i="66" s="1"/>
  <c r="D664" i="66"/>
  <c r="D665" i="66" s="1"/>
  <c r="J231" i="66"/>
  <c r="J232" i="66" s="1"/>
  <c r="J233" i="66" s="1"/>
  <c r="J234" i="66" s="1"/>
  <c r="F664" i="66"/>
  <c r="F665" i="66" s="1"/>
  <c r="C231" i="66"/>
  <c r="C232" i="66" s="1"/>
  <c r="C233" i="66" s="1"/>
  <c r="C234" i="66" s="1"/>
  <c r="B664" i="66"/>
  <c r="B665" i="66" s="1"/>
  <c r="H37" i="65"/>
  <c r="I36" i="65"/>
  <c r="H37" i="61"/>
  <c r="I36" i="61"/>
  <c r="U527" i="66"/>
  <c r="V526" i="66"/>
  <c r="M462" i="66"/>
  <c r="N461" i="66"/>
  <c r="Y461" i="66" s="1"/>
  <c r="M328" i="66"/>
  <c r="N327" i="66"/>
  <c r="U328" i="66"/>
  <c r="V327" i="66"/>
  <c r="M265" i="66"/>
  <c r="M266" i="66" s="1"/>
  <c r="N266" i="66" s="1"/>
  <c r="N264" i="66"/>
  <c r="U265" i="66"/>
  <c r="U266" i="66" s="1"/>
  <c r="V266" i="66" s="1"/>
  <c r="V264" i="66"/>
  <c r="H28" i="59"/>
  <c r="I27" i="59"/>
  <c r="I26" i="60"/>
  <c r="H27" i="60"/>
  <c r="I26" i="51"/>
  <c r="H27" i="51"/>
  <c r="I26" i="55"/>
  <c r="H27" i="55"/>
  <c r="G18" i="51"/>
  <c r="I18" i="51" s="1"/>
  <c r="H28" i="56"/>
  <c r="I27" i="56"/>
  <c r="H28" i="58"/>
  <c r="I27" i="58"/>
  <c r="I26" i="54"/>
  <c r="H27" i="54"/>
  <c r="I26" i="52"/>
  <c r="H27" i="52"/>
  <c r="I26" i="63"/>
  <c r="H27" i="63"/>
  <c r="Y27" i="66"/>
  <c r="R517" i="66"/>
  <c r="Q522" i="66"/>
  <c r="L18" i="57"/>
  <c r="S212" i="66"/>
  <c r="V212" i="66" s="1"/>
  <c r="Q18" i="55"/>
  <c r="R18" i="55" s="1"/>
  <c r="R18" i="57"/>
  <c r="K212" i="66"/>
  <c r="H26" i="53"/>
  <c r="I25" i="53"/>
  <c r="R452" i="66"/>
  <c r="Q453" i="66"/>
  <c r="Q210" i="66"/>
  <c r="I211" i="66"/>
  <c r="C16" i="66"/>
  <c r="C28" i="66" s="1"/>
  <c r="C29" i="66" s="1"/>
  <c r="J16" i="66"/>
  <c r="J28" i="66" s="1"/>
  <c r="J29" i="66" s="1"/>
  <c r="F16" i="66"/>
  <c r="F28" i="66" s="1"/>
  <c r="F29" i="66" s="1"/>
  <c r="E16" i="66"/>
  <c r="E28" i="66" s="1"/>
  <c r="E29" i="66" s="1"/>
  <c r="G37" i="49"/>
  <c r="O645" i="66"/>
  <c r="R18" i="54"/>
  <c r="K113" i="66"/>
  <c r="N113" i="66" s="1"/>
  <c r="L18" i="65"/>
  <c r="S479" i="66"/>
  <c r="G16" i="59"/>
  <c r="O278" i="66"/>
  <c r="L18" i="59"/>
  <c r="S280" i="66"/>
  <c r="V280" i="66" s="1"/>
  <c r="K18" i="61"/>
  <c r="T344" i="66"/>
  <c r="V344" i="66" s="1"/>
  <c r="G41" i="45"/>
  <c r="O578" i="66"/>
  <c r="L18" i="52"/>
  <c r="S48" i="66"/>
  <c r="V48" i="66" s="1"/>
  <c r="L18" i="54"/>
  <c r="S113" i="66"/>
  <c r="V113" i="66" s="1"/>
  <c r="R18" i="58"/>
  <c r="K247" i="66"/>
  <c r="N247" i="66" s="1"/>
  <c r="L18" i="63"/>
  <c r="S413" i="66"/>
  <c r="V413" i="66" s="1"/>
  <c r="L18" i="64"/>
  <c r="S446" i="66"/>
  <c r="V446" i="66" s="1"/>
  <c r="G16" i="52"/>
  <c r="O46" i="66"/>
  <c r="R46" i="66" s="1"/>
  <c r="G18" i="56"/>
  <c r="I18" i="56" s="1"/>
  <c r="O179" i="66"/>
  <c r="L16" i="56"/>
  <c r="S177" i="66"/>
  <c r="V177" i="66" s="1"/>
  <c r="R18" i="60"/>
  <c r="K313" i="66"/>
  <c r="N313" i="66" s="1"/>
  <c r="G16" i="62"/>
  <c r="O378" i="66"/>
  <c r="R16" i="62"/>
  <c r="K378" i="66"/>
  <c r="R16" i="63"/>
  <c r="K411" i="66"/>
  <c r="N411" i="66" s="1"/>
  <c r="Y411" i="66" s="1"/>
  <c r="G18" i="58"/>
  <c r="I18" i="58" s="1"/>
  <c r="O247" i="66"/>
  <c r="G16" i="56"/>
  <c r="O177" i="66"/>
  <c r="R16" i="60"/>
  <c r="K311" i="66"/>
  <c r="N311" i="66" s="1"/>
  <c r="Y311" i="66" s="1"/>
  <c r="F18" i="61"/>
  <c r="P344" i="66"/>
  <c r="K18" i="62"/>
  <c r="T378" i="66"/>
  <c r="G47" i="46"/>
  <c r="O511" i="66"/>
  <c r="R511" i="66" s="1"/>
  <c r="L18" i="51"/>
  <c r="S16" i="66"/>
  <c r="V16" i="66" s="1"/>
  <c r="L18" i="58"/>
  <c r="S247" i="66"/>
  <c r="V247" i="66" s="1"/>
  <c r="R18" i="64"/>
  <c r="K446" i="66"/>
  <c r="N446" i="66" s="1"/>
  <c r="Y446" i="66" s="1"/>
  <c r="R16" i="52"/>
  <c r="K46" i="66"/>
  <c r="N46" i="66" s="1"/>
  <c r="Y46" i="66" s="1"/>
  <c r="R16" i="56"/>
  <c r="K177" i="66"/>
  <c r="N177" i="66" s="1"/>
  <c r="F18" i="60"/>
  <c r="P311" i="66"/>
  <c r="K18" i="60"/>
  <c r="T311" i="66"/>
  <c r="V311" i="66" s="1"/>
  <c r="G16" i="61"/>
  <c r="O344" i="66"/>
  <c r="L16" i="62"/>
  <c r="S378" i="66"/>
  <c r="G16" i="63"/>
  <c r="O411" i="66"/>
  <c r="R41" i="45"/>
  <c r="K578" i="66"/>
  <c r="K18" i="53"/>
  <c r="L18" i="53" s="1"/>
  <c r="G18" i="59"/>
  <c r="I18" i="59" s="1"/>
  <c r="O280" i="66"/>
  <c r="R18" i="63"/>
  <c r="F18" i="55"/>
  <c r="P144" i="66"/>
  <c r="R47" i="46"/>
  <c r="K511" i="66"/>
  <c r="R41" i="44"/>
  <c r="K545" i="66"/>
  <c r="R37" i="49"/>
  <c r="K645" i="66"/>
  <c r="G18" i="52"/>
  <c r="I18" i="52" s="1"/>
  <c r="O48" i="66"/>
  <c r="G18" i="54"/>
  <c r="I18" i="54" s="1"/>
  <c r="O113" i="66"/>
  <c r="R18" i="56"/>
  <c r="K179" i="66"/>
  <c r="N179" i="66" s="1"/>
  <c r="F18" i="63"/>
  <c r="R18" i="65"/>
  <c r="K479" i="66"/>
  <c r="R18" i="51"/>
  <c r="K16" i="66"/>
  <c r="N16" i="66" s="1"/>
  <c r="R18" i="52"/>
  <c r="K48" i="66"/>
  <c r="N48" i="66" s="1"/>
  <c r="K18" i="55"/>
  <c r="T144" i="66"/>
  <c r="V144" i="66" s="1"/>
  <c r="R16" i="55"/>
  <c r="K144" i="66"/>
  <c r="N144" i="66" s="1"/>
  <c r="Y144" i="66" s="1"/>
  <c r="L18" i="56"/>
  <c r="S179" i="66"/>
  <c r="V179" i="66" s="1"/>
  <c r="R18" i="59"/>
  <c r="K280" i="66"/>
  <c r="N280" i="66" s="1"/>
  <c r="G16" i="60"/>
  <c r="O311" i="66"/>
  <c r="L16" i="60"/>
  <c r="Q18" i="61"/>
  <c r="L344" i="66"/>
  <c r="N344" i="66" s="1"/>
  <c r="Y344" i="66" s="1"/>
  <c r="F18" i="62"/>
  <c r="P378" i="66"/>
  <c r="Q18" i="62"/>
  <c r="L378" i="66"/>
  <c r="L16" i="63"/>
  <c r="S411" i="66"/>
  <c r="V411" i="66" s="1"/>
  <c r="G18" i="53"/>
  <c r="I18" i="53" s="1"/>
  <c r="O81" i="66"/>
  <c r="Q18" i="53"/>
  <c r="L79" i="66"/>
  <c r="L41" i="48"/>
  <c r="S612" i="66"/>
  <c r="R39" i="48"/>
  <c r="K610" i="66"/>
  <c r="G41" i="48"/>
  <c r="O612" i="66"/>
  <c r="G39" i="48"/>
  <c r="O610" i="66"/>
  <c r="R41" i="48"/>
  <c r="K612" i="66"/>
  <c r="L39" i="48"/>
  <c r="S610" i="66"/>
  <c r="M510" i="66"/>
  <c r="Q610" i="66"/>
  <c r="Q576" i="66"/>
  <c r="Q544" i="66"/>
  <c r="R543" i="66"/>
  <c r="U544" i="66"/>
  <c r="V543" i="66"/>
  <c r="M544" i="66"/>
  <c r="N543" i="66"/>
  <c r="Y543" i="66" s="1"/>
  <c r="I510" i="66"/>
  <c r="N477" i="66"/>
  <c r="Y477" i="66" s="1"/>
  <c r="M478" i="66"/>
  <c r="U478" i="66"/>
  <c r="V477" i="66"/>
  <c r="I412" i="66"/>
  <c r="I379" i="66"/>
  <c r="Q247" i="66"/>
  <c r="R245" i="66"/>
  <c r="Q248" i="66"/>
  <c r="R246" i="66"/>
  <c r="I345" i="66"/>
  <c r="Q311" i="66"/>
  <c r="I312" i="66"/>
  <c r="I279" i="66"/>
  <c r="Y278" i="66"/>
  <c r="I246" i="66"/>
  <c r="Y245" i="66"/>
  <c r="Q177" i="66"/>
  <c r="I178" i="66"/>
  <c r="Y177" i="66"/>
  <c r="I145" i="66"/>
  <c r="Q111" i="66"/>
  <c r="I112" i="66"/>
  <c r="I80" i="66"/>
  <c r="Y26" i="66"/>
  <c r="Q48" i="66"/>
  <c r="Q47" i="66"/>
  <c r="I48" i="66"/>
  <c r="I49" i="66"/>
  <c r="Y47" i="66"/>
  <c r="I16" i="66"/>
  <c r="I28" i="66" s="1"/>
  <c r="Y15" i="66"/>
  <c r="G18" i="65"/>
  <c r="I18" i="65" s="1"/>
  <c r="F19" i="65"/>
  <c r="G18" i="64"/>
  <c r="I18" i="64" s="1"/>
  <c r="G18" i="57"/>
  <c r="I18" i="57" s="1"/>
  <c r="L16" i="55"/>
  <c r="G16" i="55"/>
  <c r="R16" i="61"/>
  <c r="L16" i="61"/>
  <c r="U571" i="66"/>
  <c r="U604" i="66"/>
  <c r="U640" i="66"/>
  <c r="Q474" i="66"/>
  <c r="Q342" i="66"/>
  <c r="Q343" i="66" s="1"/>
  <c r="Q77" i="66"/>
  <c r="Q78" i="66" s="1"/>
  <c r="Q277" i="66"/>
  <c r="AE9" i="66"/>
  <c r="M571" i="66"/>
  <c r="M604" i="66"/>
  <c r="Q640" i="66"/>
  <c r="M640" i="66"/>
  <c r="Q374" i="66"/>
  <c r="Q409" i="66"/>
  <c r="Q410" i="66" s="1"/>
  <c r="Q9" i="66"/>
  <c r="Q142" i="66"/>
  <c r="Q143" i="66" s="1"/>
  <c r="L16" i="59"/>
  <c r="R16" i="59"/>
  <c r="L16" i="52"/>
  <c r="Q16" i="54"/>
  <c r="K16" i="54"/>
  <c r="F16" i="54"/>
  <c r="K16" i="53"/>
  <c r="Q16" i="53"/>
  <c r="F16" i="53"/>
  <c r="M45" i="46"/>
  <c r="M47" i="46" s="1"/>
  <c r="K45" i="46"/>
  <c r="Q45" i="46"/>
  <c r="F45" i="46"/>
  <c r="Q34" i="49"/>
  <c r="Q35" i="49"/>
  <c r="K34" i="49"/>
  <c r="K35" i="49"/>
  <c r="K16" i="51"/>
  <c r="Q16" i="51"/>
  <c r="K14" i="66" s="1"/>
  <c r="N14" i="66" s="1"/>
  <c r="Y14" i="66" s="1"/>
  <c r="F16" i="51"/>
  <c r="Q39" i="45"/>
  <c r="K576" i="66" s="1"/>
  <c r="K39" i="45"/>
  <c r="F39" i="45"/>
  <c r="F34" i="49"/>
  <c r="F35" i="49"/>
  <c r="H38" i="61" l="1"/>
  <c r="I37" i="61"/>
  <c r="H38" i="65"/>
  <c r="I37" i="65"/>
  <c r="R522" i="66"/>
  <c r="Q527" i="66"/>
  <c r="U528" i="66"/>
  <c r="V527" i="66"/>
  <c r="M463" i="66"/>
  <c r="N462" i="66"/>
  <c r="Y462" i="66" s="1"/>
  <c r="U329" i="66"/>
  <c r="V328" i="66"/>
  <c r="M329" i="66"/>
  <c r="N328" i="66"/>
  <c r="V265" i="66"/>
  <c r="N265" i="66"/>
  <c r="K146" i="66"/>
  <c r="N146" i="66" s="1"/>
  <c r="S81" i="66"/>
  <c r="V81" i="66" s="1"/>
  <c r="Y28" i="66"/>
  <c r="I29" i="66"/>
  <c r="Y29" i="66" s="1"/>
  <c r="H29" i="58"/>
  <c r="I28" i="58"/>
  <c r="H28" i="55"/>
  <c r="I27" i="55"/>
  <c r="H28" i="60"/>
  <c r="I27" i="60"/>
  <c r="H28" i="63"/>
  <c r="I27" i="63"/>
  <c r="H28" i="54"/>
  <c r="I27" i="54"/>
  <c r="H29" i="56"/>
  <c r="I28" i="56"/>
  <c r="H28" i="51"/>
  <c r="I27" i="51"/>
  <c r="I26" i="53"/>
  <c r="H27" i="53"/>
  <c r="H28" i="52"/>
  <c r="I27" i="52"/>
  <c r="H29" i="59"/>
  <c r="I28" i="59"/>
  <c r="Q454" i="66"/>
  <c r="Q455" i="66" s="1"/>
  <c r="R453" i="66"/>
  <c r="I212" i="66"/>
  <c r="Q211" i="66"/>
  <c r="R210" i="66"/>
  <c r="Y49" i="66"/>
  <c r="I51" i="66"/>
  <c r="V378" i="66"/>
  <c r="E17" i="66"/>
  <c r="J17" i="66"/>
  <c r="F17" i="66"/>
  <c r="C17" i="66"/>
  <c r="G18" i="62"/>
  <c r="I18" i="62" s="1"/>
  <c r="O380" i="66"/>
  <c r="G18" i="60"/>
  <c r="I18" i="60" s="1"/>
  <c r="O313" i="66"/>
  <c r="L39" i="45"/>
  <c r="S576" i="66"/>
  <c r="R16" i="51"/>
  <c r="L34" i="49"/>
  <c r="S642" i="66"/>
  <c r="R45" i="46"/>
  <c r="K509" i="66"/>
  <c r="N509" i="66" s="1"/>
  <c r="Y509" i="66" s="1"/>
  <c r="R16" i="54"/>
  <c r="K111" i="66"/>
  <c r="N111" i="66" s="1"/>
  <c r="Y111" i="66" s="1"/>
  <c r="N378" i="66"/>
  <c r="Y378" i="66" s="1"/>
  <c r="L18" i="55"/>
  <c r="S146" i="66"/>
  <c r="V146" i="66" s="1"/>
  <c r="L18" i="62"/>
  <c r="S380" i="66"/>
  <c r="V380" i="66" s="1"/>
  <c r="L18" i="61"/>
  <c r="S346" i="66"/>
  <c r="V346" i="66" s="1"/>
  <c r="G18" i="63"/>
  <c r="I18" i="63" s="1"/>
  <c r="O413" i="66"/>
  <c r="G35" i="49"/>
  <c r="O643" i="66"/>
  <c r="R39" i="45"/>
  <c r="R35" i="49"/>
  <c r="K643" i="66"/>
  <c r="L45" i="46"/>
  <c r="S509" i="66"/>
  <c r="V509" i="66" s="1"/>
  <c r="O480" i="66"/>
  <c r="G19" i="65"/>
  <c r="I19" i="65" s="1"/>
  <c r="R18" i="62"/>
  <c r="K380" i="66"/>
  <c r="N380" i="66" s="1"/>
  <c r="R18" i="61"/>
  <c r="K346" i="66"/>
  <c r="N346" i="66" s="1"/>
  <c r="L18" i="60"/>
  <c r="S313" i="66"/>
  <c r="V313" i="66" s="1"/>
  <c r="G39" i="45"/>
  <c r="O576" i="66"/>
  <c r="R576" i="66" s="1"/>
  <c r="L35" i="49"/>
  <c r="S643" i="66"/>
  <c r="G45" i="46"/>
  <c r="O509" i="66"/>
  <c r="R509" i="66" s="1"/>
  <c r="L16" i="54"/>
  <c r="S111" i="66"/>
  <c r="V111" i="66" s="1"/>
  <c r="G34" i="49"/>
  <c r="O642" i="66"/>
  <c r="R34" i="49"/>
  <c r="K642" i="66"/>
  <c r="N47" i="46"/>
  <c r="M48" i="46"/>
  <c r="G16" i="54"/>
  <c r="O111" i="66"/>
  <c r="R111" i="66" s="1"/>
  <c r="G18" i="55"/>
  <c r="I18" i="55" s="1"/>
  <c r="O146" i="66"/>
  <c r="G18" i="61"/>
  <c r="I18" i="61" s="1"/>
  <c r="O346" i="66"/>
  <c r="R16" i="53"/>
  <c r="K79" i="66"/>
  <c r="N79" i="66" s="1"/>
  <c r="Y79" i="66" s="1"/>
  <c r="L16" i="53"/>
  <c r="S79" i="66"/>
  <c r="V79" i="66" s="1"/>
  <c r="R18" i="53"/>
  <c r="K81" i="66"/>
  <c r="N81" i="66" s="1"/>
  <c r="G16" i="53"/>
  <c r="O79" i="66"/>
  <c r="M511" i="66"/>
  <c r="N510" i="66"/>
  <c r="Y510" i="66" s="1"/>
  <c r="Q611" i="66"/>
  <c r="R610" i="66"/>
  <c r="Q577" i="66"/>
  <c r="V544" i="66"/>
  <c r="U545" i="66"/>
  <c r="N544" i="66"/>
  <c r="Y544" i="66" s="1"/>
  <c r="M545" i="66"/>
  <c r="R544" i="66"/>
  <c r="Q545" i="66"/>
  <c r="I511" i="66"/>
  <c r="U479" i="66"/>
  <c r="V478" i="66"/>
  <c r="M479" i="66"/>
  <c r="N478" i="66"/>
  <c r="Y478" i="66" s="1"/>
  <c r="Q411" i="66"/>
  <c r="I413" i="66"/>
  <c r="Y412" i="66"/>
  <c r="Q250" i="66"/>
  <c r="R248" i="66"/>
  <c r="I380" i="66"/>
  <c r="Y379" i="66"/>
  <c r="Q249" i="66"/>
  <c r="R247" i="66"/>
  <c r="Q344" i="66"/>
  <c r="I346" i="66"/>
  <c r="Y345" i="66"/>
  <c r="Q312" i="66"/>
  <c r="R311" i="66"/>
  <c r="I313" i="66"/>
  <c r="Y312" i="66"/>
  <c r="Q278" i="66"/>
  <c r="I280" i="66"/>
  <c r="Y279" i="66"/>
  <c r="I247" i="66"/>
  <c r="Y246" i="66"/>
  <c r="I179" i="66"/>
  <c r="Y178" i="66"/>
  <c r="Q178" i="66"/>
  <c r="R177" i="66"/>
  <c r="Q144" i="66"/>
  <c r="I146" i="66"/>
  <c r="Y145" i="66"/>
  <c r="I113" i="66"/>
  <c r="Y112" i="66"/>
  <c r="Q112" i="66"/>
  <c r="Q79" i="66"/>
  <c r="I81" i="66"/>
  <c r="Y80" i="66"/>
  <c r="Y48" i="66"/>
  <c r="I50" i="66"/>
  <c r="R48" i="66"/>
  <c r="Q50" i="66"/>
  <c r="Q49" i="66"/>
  <c r="R47" i="66"/>
  <c r="Y16" i="66"/>
  <c r="I17" i="66"/>
  <c r="G16" i="51"/>
  <c r="O14" i="66"/>
  <c r="L16" i="51"/>
  <c r="S14" i="66"/>
  <c r="V14" i="66" s="1"/>
  <c r="N45" i="46"/>
  <c r="Q475" i="66"/>
  <c r="Q476" i="66" s="1"/>
  <c r="M641" i="66"/>
  <c r="M642" i="66" s="1"/>
  <c r="U641" i="66"/>
  <c r="U642" i="66" s="1"/>
  <c r="Q10" i="66"/>
  <c r="Q375" i="66"/>
  <c r="Q641" i="66"/>
  <c r="Q642" i="66" s="1"/>
  <c r="M572" i="66"/>
  <c r="M605" i="66"/>
  <c r="U572" i="66"/>
  <c r="U605" i="66"/>
  <c r="L43" i="46"/>
  <c r="Q44" i="46"/>
  <c r="K508" i="66" s="1"/>
  <c r="N508" i="66" s="1"/>
  <c r="Y508" i="66" s="1"/>
  <c r="K44" i="46"/>
  <c r="H44" i="46"/>
  <c r="H45" i="46" s="1"/>
  <c r="H47" i="46" s="1"/>
  <c r="F44" i="46"/>
  <c r="Q15" i="65"/>
  <c r="F15" i="65"/>
  <c r="O476" i="66" s="1"/>
  <c r="Q15" i="64"/>
  <c r="K443" i="66" s="1"/>
  <c r="N443" i="66" s="1"/>
  <c r="Y443" i="66" s="1"/>
  <c r="K15" i="64"/>
  <c r="S443" i="66" s="1"/>
  <c r="V443" i="66" s="1"/>
  <c r="F15" i="64"/>
  <c r="Q15" i="63"/>
  <c r="K15" i="63"/>
  <c r="S410" i="66" s="1"/>
  <c r="V410" i="66" s="1"/>
  <c r="F15" i="63"/>
  <c r="O410" i="66" s="1"/>
  <c r="R410" i="66" s="1"/>
  <c r="G15" i="65" l="1"/>
  <c r="I38" i="65"/>
  <c r="H39" i="65"/>
  <c r="I38" i="61"/>
  <c r="H39" i="61"/>
  <c r="U529" i="66"/>
  <c r="U530" i="66" s="1"/>
  <c r="V530" i="66" s="1"/>
  <c r="V528" i="66"/>
  <c r="Q532" i="66"/>
  <c r="R532" i="66" s="1"/>
  <c r="R527" i="66"/>
  <c r="M464" i="66"/>
  <c r="M465" i="66" s="1"/>
  <c r="N465" i="66" s="1"/>
  <c r="N463" i="66"/>
  <c r="Y463" i="66" s="1"/>
  <c r="M330" i="66"/>
  <c r="N329" i="66"/>
  <c r="U330" i="66"/>
  <c r="V329" i="66"/>
  <c r="M267" i="66"/>
  <c r="U267" i="66"/>
  <c r="H28" i="53"/>
  <c r="I27" i="53"/>
  <c r="H31" i="59"/>
  <c r="I29" i="59"/>
  <c r="H31" i="56"/>
  <c r="I29" i="56"/>
  <c r="H29" i="63"/>
  <c r="I28" i="63"/>
  <c r="H29" i="55"/>
  <c r="I28" i="55"/>
  <c r="H29" i="52"/>
  <c r="I28" i="52"/>
  <c r="H29" i="51"/>
  <c r="I28" i="51"/>
  <c r="H29" i="54"/>
  <c r="I28" i="54"/>
  <c r="H29" i="60"/>
  <c r="I28" i="60"/>
  <c r="H31" i="58"/>
  <c r="I29" i="58"/>
  <c r="R455" i="66"/>
  <c r="Q456" i="66"/>
  <c r="L15" i="64"/>
  <c r="L15" i="63"/>
  <c r="R454" i="66"/>
  <c r="Q212" i="66"/>
  <c r="R211" i="66"/>
  <c r="R250" i="66"/>
  <c r="Q252" i="66"/>
  <c r="Q254" i="66" s="1"/>
  <c r="I213" i="66"/>
  <c r="Y51" i="66"/>
  <c r="I53" i="66"/>
  <c r="Y50" i="66"/>
  <c r="I52" i="66"/>
  <c r="R49" i="66"/>
  <c r="Q51" i="66"/>
  <c r="R50" i="66"/>
  <c r="Q52" i="66"/>
  <c r="C18" i="66"/>
  <c r="C30" i="66" s="1"/>
  <c r="C31" i="66" s="1"/>
  <c r="J18" i="66"/>
  <c r="J30" i="66" s="1"/>
  <c r="J31" i="66" s="1"/>
  <c r="F18" i="66"/>
  <c r="F30" i="66" s="1"/>
  <c r="F31" i="66" s="1"/>
  <c r="E18" i="66"/>
  <c r="E30" i="66" s="1"/>
  <c r="E31" i="66" s="1"/>
  <c r="G15" i="64"/>
  <c r="O443" i="66"/>
  <c r="R443" i="66" s="1"/>
  <c r="L44" i="46"/>
  <c r="N44" i="46" s="1"/>
  <c r="S508" i="66"/>
  <c r="V508" i="66" s="1"/>
  <c r="M49" i="46"/>
  <c r="N48" i="46"/>
  <c r="I47" i="46"/>
  <c r="O47" i="46" s="1"/>
  <c r="H48" i="46"/>
  <c r="G15" i="63"/>
  <c r="R15" i="63"/>
  <c r="K410" i="66"/>
  <c r="N410" i="66" s="1"/>
  <c r="Y410" i="66" s="1"/>
  <c r="R15" i="64"/>
  <c r="R15" i="65"/>
  <c r="K476" i="66"/>
  <c r="N476" i="66" s="1"/>
  <c r="Y476" i="66" s="1"/>
  <c r="R44" i="46"/>
  <c r="G44" i="46"/>
  <c r="I44" i="46" s="1"/>
  <c r="O508" i="66"/>
  <c r="R508" i="66" s="1"/>
  <c r="U643" i="66"/>
  <c r="V642" i="66"/>
  <c r="Q643" i="66"/>
  <c r="R642" i="66"/>
  <c r="M643" i="66"/>
  <c r="N642" i="66"/>
  <c r="Y642" i="66" s="1"/>
  <c r="M512" i="66"/>
  <c r="N511" i="66"/>
  <c r="Y511" i="66" s="1"/>
  <c r="Q612" i="66"/>
  <c r="R611" i="66"/>
  <c r="Q578" i="66"/>
  <c r="R577" i="66"/>
  <c r="M546" i="66"/>
  <c r="N545" i="66"/>
  <c r="Y545" i="66" s="1"/>
  <c r="Q546" i="66"/>
  <c r="R545" i="66"/>
  <c r="U546" i="66"/>
  <c r="V545" i="66"/>
  <c r="I512" i="66"/>
  <c r="N479" i="66"/>
  <c r="Y479" i="66" s="1"/>
  <c r="M480" i="66"/>
  <c r="Q477" i="66"/>
  <c r="R476" i="66"/>
  <c r="U480" i="66"/>
  <c r="V479" i="66"/>
  <c r="I414" i="66"/>
  <c r="Y413" i="66"/>
  <c r="Q412" i="66"/>
  <c r="R411" i="66"/>
  <c r="I381" i="66"/>
  <c r="Y380" i="66"/>
  <c r="Q251" i="66"/>
  <c r="Q253" i="66" s="1"/>
  <c r="R249" i="66"/>
  <c r="I347" i="66"/>
  <c r="Y346" i="66"/>
  <c r="Q345" i="66"/>
  <c r="R344" i="66"/>
  <c r="I314" i="66"/>
  <c r="Y313" i="66"/>
  <c r="R312" i="66"/>
  <c r="Q313" i="66"/>
  <c r="I281" i="66"/>
  <c r="Y280" i="66"/>
  <c r="R278" i="66"/>
  <c r="Q279" i="66"/>
  <c r="I248" i="66"/>
  <c r="Y247" i="66"/>
  <c r="Q179" i="66"/>
  <c r="R178" i="66"/>
  <c r="I180" i="66"/>
  <c r="Y179" i="66"/>
  <c r="I147" i="66"/>
  <c r="Y146" i="66"/>
  <c r="Q145" i="66"/>
  <c r="R144" i="66"/>
  <c r="Q113" i="66"/>
  <c r="R112" i="66"/>
  <c r="I114" i="66"/>
  <c r="Y113" i="66"/>
  <c r="I82" i="66"/>
  <c r="Y81" i="66"/>
  <c r="Q80" i="66"/>
  <c r="R79" i="66"/>
  <c r="I18" i="66"/>
  <c r="Y17" i="66"/>
  <c r="I45" i="46"/>
  <c r="O45" i="46" s="1"/>
  <c r="Q11" i="66"/>
  <c r="U573" i="66"/>
  <c r="U606" i="66"/>
  <c r="M573" i="66"/>
  <c r="M606" i="66"/>
  <c r="Q376" i="66"/>
  <c r="Q377" i="66" s="1"/>
  <c r="Q15" i="62"/>
  <c r="K377" i="66" s="1"/>
  <c r="N377" i="66" s="1"/>
  <c r="Y377" i="66" s="1"/>
  <c r="K15" i="62"/>
  <c r="S377" i="66" s="1"/>
  <c r="V377" i="66" s="1"/>
  <c r="F15" i="62"/>
  <c r="O377" i="66" s="1"/>
  <c r="Q15" i="61"/>
  <c r="K343" i="66" s="1"/>
  <c r="N343" i="66" s="1"/>
  <c r="Y343" i="66" s="1"/>
  <c r="K15" i="61"/>
  <c r="F15" i="61"/>
  <c r="Q15" i="60"/>
  <c r="K15" i="60"/>
  <c r="S310" i="66" s="1"/>
  <c r="V310" i="66" s="1"/>
  <c r="F15" i="60"/>
  <c r="Q15" i="59"/>
  <c r="K277" i="66" s="1"/>
  <c r="N277" i="66" s="1"/>
  <c r="Y277" i="66" s="1"/>
  <c r="K15" i="59"/>
  <c r="S277" i="66" s="1"/>
  <c r="V277" i="66" s="1"/>
  <c r="F15" i="59"/>
  <c r="O277" i="66" s="1"/>
  <c r="R277" i="66" s="1"/>
  <c r="Q15" i="58"/>
  <c r="K244" i="66" s="1"/>
  <c r="N244" i="66" s="1"/>
  <c r="Y244" i="66" s="1"/>
  <c r="K15" i="58"/>
  <c r="F15" i="58"/>
  <c r="O244" i="66" s="1"/>
  <c r="R244" i="66" s="1"/>
  <c r="Q15" i="57"/>
  <c r="K15" i="57"/>
  <c r="F15" i="57"/>
  <c r="Q15" i="56"/>
  <c r="K15" i="56"/>
  <c r="S176" i="66" s="1"/>
  <c r="V176" i="66" s="1"/>
  <c r="F15" i="56"/>
  <c r="O176" i="66" s="1"/>
  <c r="R176" i="66" s="1"/>
  <c r="Q15" i="55"/>
  <c r="K15" i="55"/>
  <c r="S143" i="66" s="1"/>
  <c r="V143" i="66" s="1"/>
  <c r="F15" i="55"/>
  <c r="O143" i="66" s="1"/>
  <c r="R143" i="66" s="1"/>
  <c r="Q15" i="54"/>
  <c r="K110" i="66" s="1"/>
  <c r="N110" i="66" s="1"/>
  <c r="Y110" i="66" s="1"/>
  <c r="K15" i="54"/>
  <c r="S110" i="66" s="1"/>
  <c r="V110" i="66" s="1"/>
  <c r="F15" i="54"/>
  <c r="Q15" i="53"/>
  <c r="K78" i="66" s="1"/>
  <c r="N78" i="66" s="1"/>
  <c r="Y78" i="66" s="1"/>
  <c r="K15" i="53"/>
  <c r="S78" i="66" s="1"/>
  <c r="V78" i="66" s="1"/>
  <c r="F15" i="53"/>
  <c r="O78" i="66" s="1"/>
  <c r="R78" i="66" s="1"/>
  <c r="Q15" i="52"/>
  <c r="K15" i="52"/>
  <c r="S45" i="66" s="1"/>
  <c r="V45" i="66" s="1"/>
  <c r="F15" i="52"/>
  <c r="O45" i="66" s="1"/>
  <c r="R45" i="66" s="1"/>
  <c r="Q15" i="51"/>
  <c r="K13" i="66" s="1"/>
  <c r="N13" i="66" s="1"/>
  <c r="Y13" i="66" s="1"/>
  <c r="K15" i="51"/>
  <c r="S13" i="66" s="1"/>
  <c r="V13" i="66" s="1"/>
  <c r="F15" i="51"/>
  <c r="O13" i="66" s="1"/>
  <c r="H40" i="65" l="1"/>
  <c r="I39" i="65"/>
  <c r="H40" i="61"/>
  <c r="I39" i="61"/>
  <c r="V529" i="66"/>
  <c r="N464" i="66"/>
  <c r="Y464" i="66" s="1"/>
  <c r="U331" i="66"/>
  <c r="U332" i="66" s="1"/>
  <c r="V332" i="66" s="1"/>
  <c r="V330" i="66"/>
  <c r="M331" i="66"/>
  <c r="M332" i="66" s="1"/>
  <c r="N332" i="66" s="1"/>
  <c r="N330" i="66"/>
  <c r="U268" i="66"/>
  <c r="V268" i="66" s="1"/>
  <c r="V267" i="66"/>
  <c r="M268" i="66"/>
  <c r="N268" i="66" s="1"/>
  <c r="N267" i="66"/>
  <c r="I19" i="66"/>
  <c r="I20" i="66" s="1"/>
  <c r="I32" i="66" s="1"/>
  <c r="I30" i="66"/>
  <c r="G15" i="52"/>
  <c r="I31" i="56"/>
  <c r="H32" i="56"/>
  <c r="I31" i="59"/>
  <c r="H32" i="59"/>
  <c r="G15" i="55"/>
  <c r="R15" i="58"/>
  <c r="I31" i="58"/>
  <c r="H32" i="58"/>
  <c r="R15" i="59"/>
  <c r="H31" i="54"/>
  <c r="I29" i="54"/>
  <c r="H31" i="52"/>
  <c r="I29" i="52"/>
  <c r="H31" i="63"/>
  <c r="I29" i="63"/>
  <c r="R15" i="51"/>
  <c r="L15" i="52"/>
  <c r="L15" i="59"/>
  <c r="R15" i="62"/>
  <c r="H31" i="60"/>
  <c r="I29" i="60"/>
  <c r="H31" i="51"/>
  <c r="I29" i="51"/>
  <c r="H31" i="55"/>
  <c r="I29" i="55"/>
  <c r="H29" i="53"/>
  <c r="I28" i="53"/>
  <c r="R456" i="66"/>
  <c r="Q457" i="66"/>
  <c r="G15" i="62"/>
  <c r="R15" i="54"/>
  <c r="L15" i="55"/>
  <c r="R15" i="57"/>
  <c r="K209" i="66"/>
  <c r="R15" i="61"/>
  <c r="L15" i="62"/>
  <c r="L15" i="51"/>
  <c r="G15" i="59"/>
  <c r="L15" i="54"/>
  <c r="G15" i="57"/>
  <c r="O209" i="66"/>
  <c r="R209" i="66" s="1"/>
  <c r="L15" i="57"/>
  <c r="S209" i="66"/>
  <c r="V209" i="66" s="1"/>
  <c r="O44" i="46"/>
  <c r="Q255" i="66"/>
  <c r="R253" i="66"/>
  <c r="Q256" i="66"/>
  <c r="R254" i="66"/>
  <c r="R251" i="66"/>
  <c r="R252" i="66"/>
  <c r="I214" i="66"/>
  <c r="Q213" i="66"/>
  <c r="R212" i="66"/>
  <c r="R52" i="66"/>
  <c r="Q54" i="66"/>
  <c r="Y52" i="66"/>
  <c r="I54" i="66"/>
  <c r="R51" i="66"/>
  <c r="Q53" i="66"/>
  <c r="I55" i="66"/>
  <c r="Y53" i="66"/>
  <c r="F19" i="66"/>
  <c r="C19" i="66"/>
  <c r="E19" i="66"/>
  <c r="J19" i="66"/>
  <c r="Y18" i="66"/>
  <c r="R15" i="55"/>
  <c r="K143" i="66"/>
  <c r="N143" i="66" s="1"/>
  <c r="Y143" i="66" s="1"/>
  <c r="L15" i="53"/>
  <c r="G15" i="54"/>
  <c r="O110" i="66"/>
  <c r="R110" i="66" s="1"/>
  <c r="L15" i="56"/>
  <c r="G15" i="58"/>
  <c r="L15" i="60"/>
  <c r="L15" i="61"/>
  <c r="S343" i="66"/>
  <c r="V343" i="66" s="1"/>
  <c r="H49" i="46"/>
  <c r="I48" i="46"/>
  <c r="O48" i="46" s="1"/>
  <c r="G15" i="53"/>
  <c r="R15" i="53"/>
  <c r="G15" i="56"/>
  <c r="R15" i="56"/>
  <c r="K176" i="66"/>
  <c r="N176" i="66" s="1"/>
  <c r="Y176" i="66" s="1"/>
  <c r="L15" i="58"/>
  <c r="S244" i="66"/>
  <c r="V244" i="66" s="1"/>
  <c r="R15" i="60"/>
  <c r="K310" i="66"/>
  <c r="N310" i="66" s="1"/>
  <c r="Y310" i="66" s="1"/>
  <c r="R15" i="52"/>
  <c r="K45" i="66"/>
  <c r="N45" i="66" s="1"/>
  <c r="Y45" i="66" s="1"/>
  <c r="G15" i="51"/>
  <c r="G15" i="60"/>
  <c r="O310" i="66"/>
  <c r="R310" i="66" s="1"/>
  <c r="G15" i="61"/>
  <c r="O343" i="66"/>
  <c r="R343" i="66" s="1"/>
  <c r="M50" i="46"/>
  <c r="N49" i="46"/>
  <c r="M513" i="66"/>
  <c r="N512" i="66"/>
  <c r="Y512" i="66" s="1"/>
  <c r="R643" i="66"/>
  <c r="Q644" i="66"/>
  <c r="N643" i="66"/>
  <c r="Y643" i="66" s="1"/>
  <c r="M644" i="66"/>
  <c r="V643" i="66"/>
  <c r="U644" i="66"/>
  <c r="Q613" i="66"/>
  <c r="R612" i="66"/>
  <c r="Q579" i="66"/>
  <c r="R578" i="66"/>
  <c r="R546" i="66"/>
  <c r="Q547" i="66"/>
  <c r="V546" i="66"/>
  <c r="U547" i="66"/>
  <c r="N546" i="66"/>
  <c r="Y546" i="66" s="1"/>
  <c r="M547" i="66"/>
  <c r="I513" i="66"/>
  <c r="I514" i="66" s="1"/>
  <c r="I515" i="66" s="1"/>
  <c r="I516" i="66" s="1"/>
  <c r="I517" i="66" s="1"/>
  <c r="I518" i="66" s="1"/>
  <c r="I519" i="66" s="1"/>
  <c r="I520" i="66" s="1"/>
  <c r="I521" i="66" s="1"/>
  <c r="I522" i="66" s="1"/>
  <c r="I523" i="66" s="1"/>
  <c r="I524" i="66" s="1"/>
  <c r="I525" i="66" s="1"/>
  <c r="I526" i="66" s="1"/>
  <c r="I527" i="66" s="1"/>
  <c r="I528" i="66" s="1"/>
  <c r="I529" i="66" s="1"/>
  <c r="Q478" i="66"/>
  <c r="R477" i="66"/>
  <c r="M481" i="66"/>
  <c r="N480" i="66"/>
  <c r="Y480" i="66" s="1"/>
  <c r="U481" i="66"/>
  <c r="V480" i="66"/>
  <c r="R412" i="66"/>
  <c r="Q413" i="66"/>
  <c r="I415" i="66"/>
  <c r="Y414" i="66"/>
  <c r="I382" i="66"/>
  <c r="Y381" i="66"/>
  <c r="Q378" i="66"/>
  <c r="R377" i="66"/>
  <c r="Q346" i="66"/>
  <c r="R345" i="66"/>
  <c r="I348" i="66"/>
  <c r="Y347" i="66"/>
  <c r="I315" i="66"/>
  <c r="Y314" i="66"/>
  <c r="Q314" i="66"/>
  <c r="R313" i="66"/>
  <c r="Q280" i="66"/>
  <c r="R279" i="66"/>
  <c r="I282" i="66"/>
  <c r="Y281" i="66"/>
  <c r="I249" i="66"/>
  <c r="Y248" i="66"/>
  <c r="I181" i="66"/>
  <c r="Y180" i="66"/>
  <c r="R179" i="66"/>
  <c r="Q180" i="66"/>
  <c r="Q146" i="66"/>
  <c r="R145" i="66"/>
  <c r="I148" i="66"/>
  <c r="Y147" i="66"/>
  <c r="I115" i="66"/>
  <c r="Y114" i="66"/>
  <c r="Q114" i="66"/>
  <c r="R113" i="66"/>
  <c r="Q81" i="66"/>
  <c r="R80" i="66"/>
  <c r="I83" i="66"/>
  <c r="Y82" i="66"/>
  <c r="U607" i="66"/>
  <c r="U574" i="66"/>
  <c r="U575" i="66" s="1"/>
  <c r="U609" i="66" s="1"/>
  <c r="Q12" i="66"/>
  <c r="M607" i="66"/>
  <c r="M574" i="66"/>
  <c r="M575" i="66" s="1"/>
  <c r="M609" i="66" s="1"/>
  <c r="Q38" i="48"/>
  <c r="K609" i="66" s="1"/>
  <c r="K38" i="48"/>
  <c r="S609" i="66" s="1"/>
  <c r="F38" i="48"/>
  <c r="K38" i="44"/>
  <c r="F38" i="44"/>
  <c r="O542" i="66" s="1"/>
  <c r="R542" i="66" s="1"/>
  <c r="Q38" i="44"/>
  <c r="K542" i="66" s="1"/>
  <c r="N542" i="66" s="1"/>
  <c r="Y542" i="66" s="1"/>
  <c r="I40" i="61" l="1"/>
  <c r="H41" i="61"/>
  <c r="I40" i="65"/>
  <c r="H41" i="65"/>
  <c r="I530" i="66"/>
  <c r="I531" i="66" s="1"/>
  <c r="I532" i="66" s="1"/>
  <c r="I533" i="66" s="1"/>
  <c r="U531" i="66"/>
  <c r="M466" i="66"/>
  <c r="N466" i="66" s="1"/>
  <c r="Y466" i="66" s="1"/>
  <c r="Y465" i="66"/>
  <c r="N331" i="66"/>
  <c r="V331" i="66"/>
  <c r="Y19" i="66"/>
  <c r="I33" i="66"/>
  <c r="Y33" i="66" s="1"/>
  <c r="Y32" i="66"/>
  <c r="I31" i="66"/>
  <c r="Y31" i="66" s="1"/>
  <c r="Y30" i="66"/>
  <c r="I31" i="51"/>
  <c r="H32" i="51"/>
  <c r="I31" i="54"/>
  <c r="H32" i="54"/>
  <c r="H33" i="59"/>
  <c r="I32" i="59"/>
  <c r="I31" i="52"/>
  <c r="H32" i="52"/>
  <c r="I31" i="55"/>
  <c r="H32" i="55"/>
  <c r="I31" i="60"/>
  <c r="H32" i="60"/>
  <c r="I31" i="63"/>
  <c r="H32" i="63"/>
  <c r="H33" i="58"/>
  <c r="I32" i="58"/>
  <c r="H33" i="56"/>
  <c r="I32" i="56"/>
  <c r="H31" i="53"/>
  <c r="I29" i="53"/>
  <c r="R38" i="48"/>
  <c r="R457" i="66"/>
  <c r="Q458" i="66"/>
  <c r="R38" i="44"/>
  <c r="Q257" i="66"/>
  <c r="Q259" i="66" s="1"/>
  <c r="R255" i="66"/>
  <c r="Q258" i="66"/>
  <c r="R256" i="66"/>
  <c r="V547" i="66"/>
  <c r="U548" i="66"/>
  <c r="N547" i="66"/>
  <c r="Y547" i="66" s="1"/>
  <c r="M548" i="66"/>
  <c r="R547" i="66"/>
  <c r="Q548" i="66"/>
  <c r="N513" i="66"/>
  <c r="Y513" i="66" s="1"/>
  <c r="M514" i="66"/>
  <c r="V481" i="66"/>
  <c r="U482" i="66"/>
  <c r="N481" i="66"/>
  <c r="Y481" i="66" s="1"/>
  <c r="M482" i="66"/>
  <c r="Y415" i="66"/>
  <c r="I416" i="66"/>
  <c r="Y315" i="66"/>
  <c r="I316" i="66"/>
  <c r="Y282" i="66"/>
  <c r="I283" i="66"/>
  <c r="Q214" i="66"/>
  <c r="R213" i="66"/>
  <c r="I215" i="66"/>
  <c r="I56" i="66"/>
  <c r="Y54" i="66"/>
  <c r="I57" i="66"/>
  <c r="Y55" i="66"/>
  <c r="Q55" i="66"/>
  <c r="R53" i="66"/>
  <c r="R54" i="66"/>
  <c r="Q56" i="66"/>
  <c r="E20" i="66"/>
  <c r="E32" i="66" s="1"/>
  <c r="E33" i="66" s="1"/>
  <c r="F20" i="66"/>
  <c r="F32" i="66" s="1"/>
  <c r="F33" i="66" s="1"/>
  <c r="J20" i="66"/>
  <c r="J32" i="66" s="1"/>
  <c r="J33" i="66" s="1"/>
  <c r="C20" i="66"/>
  <c r="C32" i="66" s="1"/>
  <c r="C33" i="66" s="1"/>
  <c r="I21" i="66"/>
  <c r="Y20" i="66"/>
  <c r="Y83" i="66"/>
  <c r="I84" i="66"/>
  <c r="L38" i="44"/>
  <c r="S542" i="66"/>
  <c r="V542" i="66" s="1"/>
  <c r="H50" i="46"/>
  <c r="I49" i="46"/>
  <c r="O49" i="46" s="1"/>
  <c r="G38" i="44"/>
  <c r="M51" i="46"/>
  <c r="N50" i="46"/>
  <c r="L38" i="48"/>
  <c r="N609" i="66"/>
  <c r="Y609" i="66" s="1"/>
  <c r="G38" i="48"/>
  <c r="O609" i="66"/>
  <c r="R609" i="66" s="1"/>
  <c r="V609" i="66"/>
  <c r="U645" i="66"/>
  <c r="V644" i="66"/>
  <c r="Q645" i="66"/>
  <c r="R644" i="66"/>
  <c r="M645" i="66"/>
  <c r="N644" i="66"/>
  <c r="Y644" i="66" s="1"/>
  <c r="R613" i="66"/>
  <c r="Q614" i="66"/>
  <c r="M576" i="66"/>
  <c r="M610" i="66" s="1"/>
  <c r="N610" i="66" s="1"/>
  <c r="Y610" i="66" s="1"/>
  <c r="U576" i="66"/>
  <c r="U610" i="66" s="1"/>
  <c r="V610" i="66" s="1"/>
  <c r="Q580" i="66"/>
  <c r="R579" i="66"/>
  <c r="Q479" i="66"/>
  <c r="R478" i="66"/>
  <c r="Q414" i="66"/>
  <c r="R413" i="66"/>
  <c r="Q379" i="66"/>
  <c r="R378" i="66"/>
  <c r="I383" i="66"/>
  <c r="Y382" i="66"/>
  <c r="I349" i="66"/>
  <c r="Y348" i="66"/>
  <c r="Q347" i="66"/>
  <c r="R346" i="66"/>
  <c r="R314" i="66"/>
  <c r="Q315" i="66"/>
  <c r="R280" i="66"/>
  <c r="Q281" i="66"/>
  <c r="I250" i="66"/>
  <c r="Y249" i="66"/>
  <c r="Q181" i="66"/>
  <c r="R180" i="66"/>
  <c r="I182" i="66"/>
  <c r="Y181" i="66"/>
  <c r="I149" i="66"/>
  <c r="Y148" i="66"/>
  <c r="Q147" i="66"/>
  <c r="R146" i="66"/>
  <c r="Q115" i="66"/>
  <c r="R114" i="66"/>
  <c r="I116" i="66"/>
  <c r="Y115" i="66"/>
  <c r="R81" i="66"/>
  <c r="Q82" i="66"/>
  <c r="Q13" i="66"/>
  <c r="M608" i="66"/>
  <c r="U608" i="66"/>
  <c r="Q38" i="45"/>
  <c r="K575" i="66" s="1"/>
  <c r="N575" i="66" s="1"/>
  <c r="Y575" i="66" s="1"/>
  <c r="K38" i="45"/>
  <c r="S575" i="66" s="1"/>
  <c r="V575" i="66" s="1"/>
  <c r="F38" i="45"/>
  <c r="O575" i="66" s="1"/>
  <c r="R575" i="66" s="1"/>
  <c r="H42" i="65" l="1"/>
  <c r="I41" i="65"/>
  <c r="H42" i="61"/>
  <c r="I41" i="61"/>
  <c r="U532" i="66"/>
  <c r="V531" i="66"/>
  <c r="U333" i="66"/>
  <c r="V333" i="66" s="1"/>
  <c r="M333" i="66"/>
  <c r="N333" i="66" s="1"/>
  <c r="I32" i="63"/>
  <c r="H33" i="63"/>
  <c r="H33" i="60"/>
  <c r="I32" i="60"/>
  <c r="H34" i="56"/>
  <c r="I33" i="56"/>
  <c r="H34" i="59"/>
  <c r="I33" i="59"/>
  <c r="H33" i="55"/>
  <c r="I32" i="55"/>
  <c r="H33" i="54"/>
  <c r="I32" i="54"/>
  <c r="H34" i="58"/>
  <c r="I33" i="58"/>
  <c r="H33" i="52"/>
  <c r="I32" i="52"/>
  <c r="H33" i="51"/>
  <c r="I32" i="51"/>
  <c r="I31" i="53"/>
  <c r="H32" i="53"/>
  <c r="R458" i="66"/>
  <c r="Q459" i="66"/>
  <c r="Q261" i="66"/>
  <c r="R259" i="66"/>
  <c r="R258" i="66"/>
  <c r="Q260" i="66"/>
  <c r="R257" i="66"/>
  <c r="Y57" i="66"/>
  <c r="I59" i="66"/>
  <c r="R614" i="66"/>
  <c r="Q615" i="66"/>
  <c r="M549" i="66"/>
  <c r="N548" i="66"/>
  <c r="Y548" i="66" s="1"/>
  <c r="Q549" i="66"/>
  <c r="R548" i="66"/>
  <c r="U549" i="66"/>
  <c r="V548" i="66"/>
  <c r="M515" i="66"/>
  <c r="N514" i="66"/>
  <c r="Y514" i="66" s="1"/>
  <c r="M483" i="66"/>
  <c r="N482" i="66"/>
  <c r="Y482" i="66" s="1"/>
  <c r="U483" i="66"/>
  <c r="V482" i="66"/>
  <c r="I417" i="66"/>
  <c r="Y416" i="66"/>
  <c r="Y383" i="66"/>
  <c r="I384" i="66"/>
  <c r="Y349" i="66"/>
  <c r="I350" i="66"/>
  <c r="R315" i="66"/>
  <c r="Q316" i="66"/>
  <c r="I317" i="66"/>
  <c r="Y316" i="66"/>
  <c r="I284" i="66"/>
  <c r="Y283" i="66"/>
  <c r="I216" i="66"/>
  <c r="Q215" i="66"/>
  <c r="R214" i="66"/>
  <c r="Y182" i="66"/>
  <c r="I183" i="66"/>
  <c r="R56" i="66"/>
  <c r="Q58" i="66"/>
  <c r="Q60" i="66" s="1"/>
  <c r="Q57" i="66"/>
  <c r="R55" i="66"/>
  <c r="I58" i="66"/>
  <c r="Y56" i="66"/>
  <c r="C21" i="66"/>
  <c r="F21" i="66"/>
  <c r="J21" i="66"/>
  <c r="E21" i="66"/>
  <c r="Y21" i="66"/>
  <c r="I22" i="66"/>
  <c r="I34" i="66" s="1"/>
  <c r="Y116" i="66"/>
  <c r="I117" i="66"/>
  <c r="I85" i="66"/>
  <c r="Y84" i="66"/>
  <c r="G38" i="45"/>
  <c r="R38" i="45"/>
  <c r="H51" i="46"/>
  <c r="I50" i="46"/>
  <c r="O50" i="46" s="1"/>
  <c r="M52" i="46"/>
  <c r="N51" i="46"/>
  <c r="L38" i="45"/>
  <c r="Q646" i="66"/>
  <c r="R645" i="66"/>
  <c r="M646" i="66"/>
  <c r="N645" i="66"/>
  <c r="Y645" i="66" s="1"/>
  <c r="U646" i="66"/>
  <c r="V645" i="66"/>
  <c r="U577" i="66"/>
  <c r="U611" i="66" s="1"/>
  <c r="V611" i="66" s="1"/>
  <c r="V576" i="66"/>
  <c r="Q581" i="66"/>
  <c r="R580" i="66"/>
  <c r="M577" i="66"/>
  <c r="M611" i="66" s="1"/>
  <c r="N611" i="66" s="1"/>
  <c r="Y611" i="66" s="1"/>
  <c r="N576" i="66"/>
  <c r="Y576" i="66" s="1"/>
  <c r="R479" i="66"/>
  <c r="Q480" i="66"/>
  <c r="R414" i="66"/>
  <c r="Q415" i="66"/>
  <c r="Q380" i="66"/>
  <c r="R379" i="66"/>
  <c r="Q348" i="66"/>
  <c r="R347" i="66"/>
  <c r="Q282" i="66"/>
  <c r="R281" i="66"/>
  <c r="I251" i="66"/>
  <c r="Y250" i="66"/>
  <c r="R181" i="66"/>
  <c r="Q182" i="66"/>
  <c r="Q148" i="66"/>
  <c r="R147" i="66"/>
  <c r="I150" i="66"/>
  <c r="Y149" i="66"/>
  <c r="R115" i="66"/>
  <c r="Q116" i="66"/>
  <c r="R82" i="66"/>
  <c r="Q83" i="66"/>
  <c r="R13" i="66"/>
  <c r="Q14" i="66"/>
  <c r="Q15" i="66" s="1"/>
  <c r="H44" i="61" l="1"/>
  <c r="I42" i="61"/>
  <c r="H44" i="65"/>
  <c r="I42" i="65"/>
  <c r="I34" i="56"/>
  <c r="H35" i="56"/>
  <c r="I34" i="58"/>
  <c r="H35" i="58"/>
  <c r="U533" i="66"/>
  <c r="V533" i="66" s="1"/>
  <c r="V532" i="66"/>
  <c r="R459" i="66"/>
  <c r="Q460" i="66"/>
  <c r="R261" i="66"/>
  <c r="Q263" i="66"/>
  <c r="R260" i="66"/>
  <c r="Q262" i="66"/>
  <c r="R60" i="66"/>
  <c r="Q62" i="66"/>
  <c r="I35" i="66"/>
  <c r="Y35" i="66" s="1"/>
  <c r="Y34" i="66"/>
  <c r="H34" i="63"/>
  <c r="I33" i="63"/>
  <c r="I34" i="59"/>
  <c r="H35" i="59"/>
  <c r="H33" i="53"/>
  <c r="I32" i="53"/>
  <c r="H34" i="51"/>
  <c r="I33" i="51"/>
  <c r="H34" i="54"/>
  <c r="I33" i="54"/>
  <c r="H34" i="52"/>
  <c r="I33" i="52"/>
  <c r="H34" i="55"/>
  <c r="I33" i="55"/>
  <c r="H34" i="60"/>
  <c r="I33" i="60"/>
  <c r="Y59" i="66"/>
  <c r="I61" i="66"/>
  <c r="Y58" i="66"/>
  <c r="I60" i="66"/>
  <c r="R58" i="66"/>
  <c r="R57" i="66"/>
  <c r="Q59" i="66"/>
  <c r="N52" i="46"/>
  <c r="M53" i="46"/>
  <c r="Q616" i="66"/>
  <c r="R615" i="66"/>
  <c r="R581" i="66"/>
  <c r="Q582" i="66"/>
  <c r="Q550" i="66"/>
  <c r="R549" i="66"/>
  <c r="U550" i="66"/>
  <c r="V549" i="66"/>
  <c r="N549" i="66"/>
  <c r="Y549" i="66" s="1"/>
  <c r="M550" i="66"/>
  <c r="N515" i="66"/>
  <c r="Y515" i="66" s="1"/>
  <c r="M516" i="66"/>
  <c r="U484" i="66"/>
  <c r="V483" i="66"/>
  <c r="M484" i="66"/>
  <c r="N483" i="66"/>
  <c r="Y483" i="66" s="1"/>
  <c r="R415" i="66"/>
  <c r="Q416" i="66"/>
  <c r="I418" i="66"/>
  <c r="Y417" i="66"/>
  <c r="I385" i="66"/>
  <c r="Y384" i="66"/>
  <c r="I351" i="66"/>
  <c r="Y350" i="66"/>
  <c r="I318" i="66"/>
  <c r="Y317" i="66"/>
  <c r="Q317" i="66"/>
  <c r="R316" i="66"/>
  <c r="R282" i="66"/>
  <c r="Q283" i="66"/>
  <c r="I285" i="66"/>
  <c r="Y284" i="66"/>
  <c r="Y251" i="66"/>
  <c r="I252" i="66"/>
  <c r="Q216" i="66"/>
  <c r="R215" i="66"/>
  <c r="I217" i="66"/>
  <c r="R182" i="66"/>
  <c r="Q183" i="66"/>
  <c r="I184" i="66"/>
  <c r="Y183" i="66"/>
  <c r="Y150" i="66"/>
  <c r="I151" i="66"/>
  <c r="E22" i="66"/>
  <c r="E34" i="66" s="1"/>
  <c r="E35" i="66" s="1"/>
  <c r="F22" i="66"/>
  <c r="F34" i="66" s="1"/>
  <c r="F35" i="66" s="1"/>
  <c r="J22" i="66"/>
  <c r="J34" i="66" s="1"/>
  <c r="J35" i="66" s="1"/>
  <c r="C22" i="66"/>
  <c r="C34" i="66" s="1"/>
  <c r="C35" i="66" s="1"/>
  <c r="I23" i="66"/>
  <c r="Y22" i="66"/>
  <c r="I118" i="66"/>
  <c r="Y117" i="66"/>
  <c r="R116" i="66"/>
  <c r="Q117" i="66"/>
  <c r="R83" i="66"/>
  <c r="Q84" i="66"/>
  <c r="I86" i="66"/>
  <c r="Y85" i="66"/>
  <c r="H52" i="46"/>
  <c r="I51" i="46"/>
  <c r="O51" i="46" s="1"/>
  <c r="M647" i="66"/>
  <c r="N646" i="66"/>
  <c r="Y646" i="66" s="1"/>
  <c r="U647" i="66"/>
  <c r="V646" i="66"/>
  <c r="Q647" i="66"/>
  <c r="R646" i="66"/>
  <c r="M578" i="66"/>
  <c r="M612" i="66" s="1"/>
  <c r="N612" i="66" s="1"/>
  <c r="Y612" i="66" s="1"/>
  <c r="N577" i="66"/>
  <c r="Y577" i="66" s="1"/>
  <c r="U578" i="66"/>
  <c r="U612" i="66" s="1"/>
  <c r="V612" i="66" s="1"/>
  <c r="V577" i="66"/>
  <c r="Q481" i="66"/>
  <c r="R480" i="66"/>
  <c r="Q381" i="66"/>
  <c r="R380" i="66"/>
  <c r="Q349" i="66"/>
  <c r="R348" i="66"/>
  <c r="Q149" i="66"/>
  <c r="R148" i="66"/>
  <c r="Q16" i="66"/>
  <c r="Q28" i="66" s="1"/>
  <c r="R15" i="66"/>
  <c r="Q26" i="66"/>
  <c r="R14" i="66"/>
  <c r="L146" i="47"/>
  <c r="P146" i="47"/>
  <c r="T146" i="47"/>
  <c r="L138" i="47"/>
  <c r="P138" i="47"/>
  <c r="T138" i="47"/>
  <c r="L139" i="47"/>
  <c r="M139" i="47"/>
  <c r="P139" i="47"/>
  <c r="T139" i="47"/>
  <c r="U139" i="47"/>
  <c r="Y139" i="47"/>
  <c r="L131" i="47"/>
  <c r="P131" i="47"/>
  <c r="T131" i="47"/>
  <c r="L124" i="47"/>
  <c r="M124" i="47"/>
  <c r="P124" i="47"/>
  <c r="T124" i="47"/>
  <c r="U124" i="47"/>
  <c r="U117" i="47"/>
  <c r="T117" i="47"/>
  <c r="S117" i="47"/>
  <c r="P117" i="47"/>
  <c r="L117" i="47"/>
  <c r="O117" i="47"/>
  <c r="L118" i="47"/>
  <c r="M118" i="47"/>
  <c r="P118" i="47"/>
  <c r="T118" i="47"/>
  <c r="U118" i="47"/>
  <c r="L110" i="47"/>
  <c r="P110" i="47"/>
  <c r="L103" i="47"/>
  <c r="M103" i="47"/>
  <c r="P103" i="47"/>
  <c r="T103" i="47"/>
  <c r="U103" i="47"/>
  <c r="L96" i="47"/>
  <c r="M96" i="47"/>
  <c r="P96" i="47"/>
  <c r="T96" i="47"/>
  <c r="U96" i="47"/>
  <c r="L89" i="47"/>
  <c r="M89" i="47"/>
  <c r="P89" i="47"/>
  <c r="T89" i="47"/>
  <c r="U89" i="47"/>
  <c r="L82" i="47"/>
  <c r="M82" i="47"/>
  <c r="P82" i="47"/>
  <c r="T82" i="47"/>
  <c r="U82" i="47"/>
  <c r="L75" i="47"/>
  <c r="M75" i="47"/>
  <c r="P75" i="47"/>
  <c r="T75" i="47"/>
  <c r="U75" i="47"/>
  <c r="L68" i="47"/>
  <c r="M68" i="47"/>
  <c r="P68" i="47"/>
  <c r="T68" i="47"/>
  <c r="U68" i="47"/>
  <c r="L61" i="47"/>
  <c r="M61" i="47"/>
  <c r="P61" i="47"/>
  <c r="T61" i="47"/>
  <c r="U61" i="47"/>
  <c r="L54" i="47"/>
  <c r="P54" i="47"/>
  <c r="T54" i="47"/>
  <c r="U54" i="47"/>
  <c r="L47" i="47"/>
  <c r="M47" i="47"/>
  <c r="P47" i="47"/>
  <c r="T47" i="47"/>
  <c r="U47" i="47"/>
  <c r="L40" i="47"/>
  <c r="M40" i="47"/>
  <c r="P40" i="47"/>
  <c r="T40" i="47"/>
  <c r="U40" i="47"/>
  <c r="L33" i="47"/>
  <c r="M33" i="47"/>
  <c r="P33" i="47"/>
  <c r="T33" i="47"/>
  <c r="U33" i="47"/>
  <c r="L26" i="47"/>
  <c r="M26" i="47"/>
  <c r="P26" i="47"/>
  <c r="T26" i="47"/>
  <c r="U26" i="47"/>
  <c r="L19" i="47"/>
  <c r="M19" i="47"/>
  <c r="P19" i="47"/>
  <c r="T19" i="47"/>
  <c r="U19" i="47"/>
  <c r="L12" i="47"/>
  <c r="M12" i="47"/>
  <c r="P12" i="47"/>
  <c r="T12" i="47"/>
  <c r="U12" i="47"/>
  <c r="H45" i="65" l="1"/>
  <c r="I44" i="65"/>
  <c r="H45" i="61"/>
  <c r="I44" i="61"/>
  <c r="I34" i="55"/>
  <c r="H35" i="55"/>
  <c r="H36" i="56"/>
  <c r="I35" i="56"/>
  <c r="I34" i="60"/>
  <c r="H35" i="60"/>
  <c r="I35" i="59"/>
  <c r="H36" i="59"/>
  <c r="I34" i="54"/>
  <c r="H35" i="54"/>
  <c r="H36" i="58"/>
  <c r="I35" i="58"/>
  <c r="I34" i="51"/>
  <c r="H35" i="51"/>
  <c r="Q461" i="66"/>
  <c r="R460" i="66"/>
  <c r="Q264" i="66"/>
  <c r="Q266" i="66" s="1"/>
  <c r="R266" i="66" s="1"/>
  <c r="R262" i="66"/>
  <c r="Q265" i="66"/>
  <c r="R263" i="66"/>
  <c r="Y61" i="66"/>
  <c r="I63" i="66"/>
  <c r="Y60" i="66"/>
  <c r="I62" i="66"/>
  <c r="R62" i="66"/>
  <c r="Q64" i="66"/>
  <c r="H35" i="63"/>
  <c r="I34" i="63"/>
  <c r="I34" i="52"/>
  <c r="H35" i="52"/>
  <c r="H34" i="53"/>
  <c r="I33" i="53"/>
  <c r="R59" i="66"/>
  <c r="Q61" i="66"/>
  <c r="R28" i="66"/>
  <c r="Q29" i="66"/>
  <c r="R29" i="66" s="1"/>
  <c r="R26" i="66"/>
  <c r="Q27" i="66"/>
  <c r="M54" i="46"/>
  <c r="N53" i="46"/>
  <c r="I52" i="46"/>
  <c r="O52" i="46" s="1"/>
  <c r="H53" i="46"/>
  <c r="Q617" i="66"/>
  <c r="R616" i="66"/>
  <c r="Q583" i="66"/>
  <c r="R582" i="66"/>
  <c r="U551" i="66"/>
  <c r="V550" i="66"/>
  <c r="M551" i="66"/>
  <c r="N550" i="66"/>
  <c r="Y550" i="66" s="1"/>
  <c r="Q551" i="66"/>
  <c r="R550" i="66"/>
  <c r="M517" i="66"/>
  <c r="N516" i="66"/>
  <c r="Y516" i="66" s="1"/>
  <c r="M485" i="66"/>
  <c r="N484" i="66"/>
  <c r="Y484" i="66" s="1"/>
  <c r="R481" i="66"/>
  <c r="Q482" i="66"/>
  <c r="U485" i="66"/>
  <c r="V484" i="66"/>
  <c r="I419" i="66"/>
  <c r="Y418" i="66"/>
  <c r="Q417" i="66"/>
  <c r="R416" i="66"/>
  <c r="I386" i="66"/>
  <c r="Y385" i="66"/>
  <c r="R349" i="66"/>
  <c r="Q350" i="66"/>
  <c r="I352" i="66"/>
  <c r="Y351" i="66"/>
  <c r="Q318" i="66"/>
  <c r="R317" i="66"/>
  <c r="I319" i="66"/>
  <c r="Y318" i="66"/>
  <c r="I286" i="66"/>
  <c r="Y285" i="66"/>
  <c r="Q284" i="66"/>
  <c r="R283" i="66"/>
  <c r="Q217" i="66"/>
  <c r="Q218" i="66" s="1"/>
  <c r="R218" i="66" s="1"/>
  <c r="R216" i="66"/>
  <c r="I253" i="66"/>
  <c r="Y253" i="66" s="1"/>
  <c r="Y252" i="66"/>
  <c r="I218" i="66"/>
  <c r="Y218" i="66" s="1"/>
  <c r="I185" i="66"/>
  <c r="Y184" i="66"/>
  <c r="Q184" i="66"/>
  <c r="R183" i="66"/>
  <c r="I152" i="66"/>
  <c r="Y151" i="66"/>
  <c r="C23" i="66"/>
  <c r="F23" i="66"/>
  <c r="J23" i="66"/>
  <c r="E23" i="66"/>
  <c r="I24" i="66"/>
  <c r="Y23" i="66"/>
  <c r="Q118" i="66"/>
  <c r="R117" i="66"/>
  <c r="Y86" i="66"/>
  <c r="I87" i="66"/>
  <c r="I119" i="66"/>
  <c r="Y118" i="66"/>
  <c r="Q85" i="66"/>
  <c r="R84" i="66"/>
  <c r="V647" i="66"/>
  <c r="U648" i="66"/>
  <c r="R647" i="66"/>
  <c r="Q648" i="66"/>
  <c r="M648" i="66"/>
  <c r="N647" i="66"/>
  <c r="Y647" i="66" s="1"/>
  <c r="U579" i="66"/>
  <c r="U613" i="66" s="1"/>
  <c r="V613" i="66" s="1"/>
  <c r="V578" i="66"/>
  <c r="M579" i="66"/>
  <c r="M613" i="66" s="1"/>
  <c r="N613" i="66" s="1"/>
  <c r="Y613" i="66" s="1"/>
  <c r="N578" i="66"/>
  <c r="Y578" i="66" s="1"/>
  <c r="Q382" i="66"/>
  <c r="R381" i="66"/>
  <c r="Q150" i="66"/>
  <c r="R149" i="66"/>
  <c r="R16" i="66"/>
  <c r="Q17" i="66"/>
  <c r="V117" i="47"/>
  <c r="F14" i="65"/>
  <c r="G14" i="65" s="1"/>
  <c r="Q14" i="58"/>
  <c r="R14" i="58" s="1"/>
  <c r="K14" i="58"/>
  <c r="L14" i="58" s="1"/>
  <c r="F14" i="58"/>
  <c r="K14" i="57"/>
  <c r="L14" i="57" s="1"/>
  <c r="Q14" i="57"/>
  <c r="R14" i="57" s="1"/>
  <c r="F14" i="57"/>
  <c r="G14" i="57" s="1"/>
  <c r="Q33" i="49"/>
  <c r="R33" i="49" s="1"/>
  <c r="K33" i="49"/>
  <c r="F33" i="49"/>
  <c r="Q43" i="46"/>
  <c r="N43" i="46"/>
  <c r="G43" i="46"/>
  <c r="I43" i="46" s="1"/>
  <c r="H46" i="61" l="1"/>
  <c r="I45" i="61"/>
  <c r="I45" i="65"/>
  <c r="H46" i="65"/>
  <c r="H36" i="60"/>
  <c r="I35" i="60"/>
  <c r="I36" i="58"/>
  <c r="H37" i="58"/>
  <c r="H37" i="56"/>
  <c r="I36" i="56"/>
  <c r="H36" i="55"/>
  <c r="I35" i="55"/>
  <c r="H37" i="59"/>
  <c r="I36" i="59"/>
  <c r="H36" i="54"/>
  <c r="I35" i="54"/>
  <c r="I35" i="63"/>
  <c r="H36" i="63"/>
  <c r="I34" i="53"/>
  <c r="H35" i="53"/>
  <c r="I35" i="52"/>
  <c r="H36" i="52"/>
  <c r="H36" i="51"/>
  <c r="I35" i="51"/>
  <c r="Q462" i="66"/>
  <c r="R461" i="66"/>
  <c r="Q267" i="66"/>
  <c r="R267" i="66" s="1"/>
  <c r="R265" i="66"/>
  <c r="R264" i="66"/>
  <c r="Q66" i="66"/>
  <c r="R64" i="66"/>
  <c r="I64" i="66"/>
  <c r="Y62" i="66"/>
  <c r="R61" i="66"/>
  <c r="Q63" i="66"/>
  <c r="I65" i="66"/>
  <c r="I67" i="66" s="1"/>
  <c r="Y63" i="66"/>
  <c r="R27" i="66"/>
  <c r="Q219" i="66"/>
  <c r="H54" i="46"/>
  <c r="I53" i="46"/>
  <c r="O53" i="46" s="1"/>
  <c r="M55" i="46"/>
  <c r="N54" i="46"/>
  <c r="Q618" i="66"/>
  <c r="R617" i="66"/>
  <c r="Q584" i="66"/>
  <c r="R583" i="66"/>
  <c r="N551" i="66"/>
  <c r="Y551" i="66" s="1"/>
  <c r="M552" i="66"/>
  <c r="R551" i="66"/>
  <c r="Q552" i="66"/>
  <c r="U552" i="66"/>
  <c r="V551" i="66"/>
  <c r="M518" i="66"/>
  <c r="N517" i="66"/>
  <c r="Y517" i="66" s="1"/>
  <c r="Q483" i="66"/>
  <c r="R482" i="66"/>
  <c r="V485" i="66"/>
  <c r="U486" i="66"/>
  <c r="N485" i="66"/>
  <c r="Y485" i="66" s="1"/>
  <c r="M486" i="66"/>
  <c r="Q418" i="66"/>
  <c r="R417" i="66"/>
  <c r="I420" i="66"/>
  <c r="Y419" i="66"/>
  <c r="I387" i="66"/>
  <c r="Y386" i="66"/>
  <c r="I353" i="66"/>
  <c r="Y352" i="66"/>
  <c r="Q351" i="66"/>
  <c r="R350" i="66"/>
  <c r="I320" i="66"/>
  <c r="Y319" i="66"/>
  <c r="Q319" i="66"/>
  <c r="R318" i="66"/>
  <c r="Q285" i="66"/>
  <c r="R284" i="66"/>
  <c r="I287" i="66"/>
  <c r="Y286" i="66"/>
  <c r="I254" i="66"/>
  <c r="Y254" i="66" s="1"/>
  <c r="I219" i="66"/>
  <c r="Y219" i="66" s="1"/>
  <c r="R217" i="66"/>
  <c r="Q185" i="66"/>
  <c r="R184" i="66"/>
  <c r="I186" i="66"/>
  <c r="Y185" i="66"/>
  <c r="R150" i="66"/>
  <c r="Q151" i="66"/>
  <c r="I153" i="66"/>
  <c r="Y152" i="66"/>
  <c r="Y119" i="66"/>
  <c r="I120" i="66"/>
  <c r="Y87" i="66"/>
  <c r="I88" i="66"/>
  <c r="E24" i="66"/>
  <c r="F24" i="66"/>
  <c r="J24" i="66"/>
  <c r="C24" i="66"/>
  <c r="I25" i="66"/>
  <c r="Y24" i="66"/>
  <c r="Q119" i="66"/>
  <c r="R118" i="66"/>
  <c r="Q86" i="66"/>
  <c r="R85" i="66"/>
  <c r="O43" i="46"/>
  <c r="R648" i="66"/>
  <c r="Q649" i="66"/>
  <c r="V648" i="66"/>
  <c r="U649" i="66"/>
  <c r="M649" i="66"/>
  <c r="N648" i="66"/>
  <c r="Y648" i="66" s="1"/>
  <c r="M580" i="66"/>
  <c r="M614" i="66" s="1"/>
  <c r="N614" i="66" s="1"/>
  <c r="Y614" i="66" s="1"/>
  <c r="N579" i="66"/>
  <c r="Y579" i="66" s="1"/>
  <c r="U580" i="66"/>
  <c r="U614" i="66" s="1"/>
  <c r="V614" i="66" s="1"/>
  <c r="V579" i="66"/>
  <c r="Q383" i="66"/>
  <c r="R382" i="66"/>
  <c r="Q18" i="66"/>
  <c r="R17" i="66"/>
  <c r="O243" i="66"/>
  <c r="R243" i="66" s="1"/>
  <c r="O61" i="47"/>
  <c r="G33" i="49"/>
  <c r="O641" i="66"/>
  <c r="R641" i="66" s="1"/>
  <c r="O146" i="47"/>
  <c r="K641" i="66"/>
  <c r="N641" i="66" s="1"/>
  <c r="Y641" i="66" s="1"/>
  <c r="K146" i="47"/>
  <c r="K208" i="66"/>
  <c r="K54" i="47"/>
  <c r="S208" i="66"/>
  <c r="V208" i="66" s="1"/>
  <c r="S54" i="47"/>
  <c r="V54" i="47" s="1"/>
  <c r="O475" i="66"/>
  <c r="R475" i="66" s="1"/>
  <c r="O110" i="47"/>
  <c r="O208" i="66"/>
  <c r="R208" i="66" s="1"/>
  <c r="O54" i="47"/>
  <c r="K243" i="66"/>
  <c r="N243" i="66" s="1"/>
  <c r="Y243" i="66" s="1"/>
  <c r="K61" i="47"/>
  <c r="N61" i="47" s="1"/>
  <c r="R43" i="46"/>
  <c r="K507" i="66"/>
  <c r="N507" i="66" s="1"/>
  <c r="Y507" i="66" s="1"/>
  <c r="K117" i="47"/>
  <c r="L33" i="49"/>
  <c r="S641" i="66"/>
  <c r="V641" i="66" s="1"/>
  <c r="S146" i="47"/>
  <c r="G14" i="58"/>
  <c r="S243" i="66"/>
  <c r="V243" i="66" s="1"/>
  <c r="S61" i="47"/>
  <c r="V61" i="47" s="1"/>
  <c r="Q37" i="45"/>
  <c r="R37" i="45" s="1"/>
  <c r="K37" i="45"/>
  <c r="F37" i="45"/>
  <c r="G37" i="45" s="1"/>
  <c r="Q14" i="64"/>
  <c r="K442" i="66" s="1"/>
  <c r="N442" i="66" s="1"/>
  <c r="Y442" i="66" s="1"/>
  <c r="K14" i="64"/>
  <c r="F14" i="64"/>
  <c r="Q14" i="63"/>
  <c r="R14" i="63" s="1"/>
  <c r="K14" i="63"/>
  <c r="F14" i="63"/>
  <c r="G14" i="63" s="1"/>
  <c r="Q14" i="62"/>
  <c r="R14" i="62" s="1"/>
  <c r="K14" i="62"/>
  <c r="L14" i="62" s="1"/>
  <c r="F14" i="62"/>
  <c r="K14" i="61"/>
  <c r="L14" i="61" s="1"/>
  <c r="F14" i="61"/>
  <c r="G14" i="61" s="1"/>
  <c r="Q14" i="61"/>
  <c r="R14" i="61" s="1"/>
  <c r="Q14" i="60"/>
  <c r="R14" i="60" s="1"/>
  <c r="K14" i="60"/>
  <c r="L14" i="60" s="1"/>
  <c r="F14" i="60"/>
  <c r="Q14" i="59"/>
  <c r="K14" i="59"/>
  <c r="S276" i="66" s="1"/>
  <c r="V276" i="66" s="1"/>
  <c r="F14" i="59"/>
  <c r="O276" i="66" s="1"/>
  <c r="R276" i="66" s="1"/>
  <c r="Q14" i="56"/>
  <c r="R14" i="56" s="1"/>
  <c r="K14" i="56"/>
  <c r="L14" i="56" s="1"/>
  <c r="F14" i="56"/>
  <c r="G14" i="56" s="1"/>
  <c r="Q14" i="55"/>
  <c r="R14" i="55" s="1"/>
  <c r="K14" i="55"/>
  <c r="F14" i="55"/>
  <c r="G14" i="55" s="1"/>
  <c r="K14" i="54"/>
  <c r="L14" i="54" s="1"/>
  <c r="F14" i="54"/>
  <c r="Q14" i="53"/>
  <c r="R14" i="53" s="1"/>
  <c r="K14" i="53"/>
  <c r="L14" i="53" s="1"/>
  <c r="F14" i="53"/>
  <c r="G14" i="53" s="1"/>
  <c r="Q14" i="52"/>
  <c r="R14" i="52" s="1"/>
  <c r="K14" i="52"/>
  <c r="L14" i="52" s="1"/>
  <c r="F14" i="52"/>
  <c r="G14" i="52"/>
  <c r="Q14" i="51"/>
  <c r="K14" i="51"/>
  <c r="L14" i="51" s="1"/>
  <c r="I46" i="65" l="1"/>
  <c r="H47" i="65"/>
  <c r="I46" i="61"/>
  <c r="H47" i="61"/>
  <c r="H38" i="56"/>
  <c r="I37" i="56"/>
  <c r="H38" i="58"/>
  <c r="I37" i="58"/>
  <c r="I36" i="52"/>
  <c r="H37" i="52"/>
  <c r="I37" i="59"/>
  <c r="H38" i="59"/>
  <c r="I36" i="63"/>
  <c r="H37" i="63"/>
  <c r="H37" i="55"/>
  <c r="I36" i="55"/>
  <c r="H37" i="60"/>
  <c r="I36" i="60"/>
  <c r="I36" i="54"/>
  <c r="H37" i="54"/>
  <c r="H36" i="53"/>
  <c r="I35" i="53"/>
  <c r="H37" i="51"/>
  <c r="I36" i="51"/>
  <c r="R462" i="66"/>
  <c r="Q463" i="66"/>
  <c r="Q268" i="66"/>
  <c r="R268" i="66" s="1"/>
  <c r="Q65" i="66"/>
  <c r="Q67" i="66" s="1"/>
  <c r="R67" i="66" s="1"/>
  <c r="R63" i="66"/>
  <c r="I66" i="66"/>
  <c r="Y64" i="66"/>
  <c r="Y67" i="66"/>
  <c r="Y65" i="66"/>
  <c r="Q68" i="66"/>
  <c r="R68" i="66" s="1"/>
  <c r="R66" i="66"/>
  <c r="Q19" i="66"/>
  <c r="Q20" i="66" s="1"/>
  <c r="Q32" i="66" s="1"/>
  <c r="Q30" i="66"/>
  <c r="L14" i="59"/>
  <c r="N55" i="46"/>
  <c r="M56" i="46"/>
  <c r="R219" i="66"/>
  <c r="Q220" i="66"/>
  <c r="R14" i="59"/>
  <c r="K276" i="66"/>
  <c r="N276" i="66" s="1"/>
  <c r="Y276" i="66" s="1"/>
  <c r="H55" i="46"/>
  <c r="I54" i="46"/>
  <c r="O54" i="46" s="1"/>
  <c r="R649" i="66"/>
  <c r="Q650" i="66"/>
  <c r="V649" i="66"/>
  <c r="U650" i="66"/>
  <c r="R618" i="66"/>
  <c r="Q619" i="66"/>
  <c r="N649" i="66"/>
  <c r="Y649" i="66" s="1"/>
  <c r="M650" i="66"/>
  <c r="Q585" i="66"/>
  <c r="R584" i="66"/>
  <c r="Q553" i="66"/>
  <c r="Q554" i="66" s="1"/>
  <c r="R552" i="66"/>
  <c r="M553" i="66"/>
  <c r="M554" i="66" s="1"/>
  <c r="N552" i="66"/>
  <c r="Y552" i="66" s="1"/>
  <c r="U553" i="66"/>
  <c r="U554" i="66" s="1"/>
  <c r="V552" i="66"/>
  <c r="N518" i="66"/>
  <c r="Y518" i="66" s="1"/>
  <c r="M519" i="66"/>
  <c r="M520" i="66" s="1"/>
  <c r="U487" i="66"/>
  <c r="U488" i="66" s="1"/>
  <c r="V488" i="66" s="1"/>
  <c r="V486" i="66"/>
  <c r="M487" i="66"/>
  <c r="M488" i="66" s="1"/>
  <c r="N488" i="66" s="1"/>
  <c r="Y488" i="66" s="1"/>
  <c r="N486" i="66"/>
  <c r="Y486" i="66" s="1"/>
  <c r="Q484" i="66"/>
  <c r="R483" i="66"/>
  <c r="I421" i="66"/>
  <c r="Y420" i="66"/>
  <c r="R418" i="66"/>
  <c r="Q419" i="66"/>
  <c r="R383" i="66"/>
  <c r="Q384" i="66"/>
  <c r="I388" i="66"/>
  <c r="Y387" i="66"/>
  <c r="Q352" i="66"/>
  <c r="R351" i="66"/>
  <c r="I354" i="66"/>
  <c r="Y354" i="66" s="1"/>
  <c r="Y353" i="66"/>
  <c r="R319" i="66"/>
  <c r="Q320" i="66"/>
  <c r="Q321" i="66" s="1"/>
  <c r="I321" i="66"/>
  <c r="Y321" i="66" s="1"/>
  <c r="Y320" i="66"/>
  <c r="I288" i="66"/>
  <c r="Y287" i="66"/>
  <c r="Q286" i="66"/>
  <c r="R285" i="66"/>
  <c r="I220" i="66"/>
  <c r="Y220" i="66" s="1"/>
  <c r="I255" i="66"/>
  <c r="Y255" i="66" s="1"/>
  <c r="I187" i="66"/>
  <c r="Y187" i="66" s="1"/>
  <c r="Y186" i="66"/>
  <c r="Q186" i="66"/>
  <c r="Q187" i="66" s="1"/>
  <c r="R185" i="66"/>
  <c r="I154" i="66"/>
  <c r="Y153" i="66"/>
  <c r="Q152" i="66"/>
  <c r="Q153" i="66" s="1"/>
  <c r="R151" i="66"/>
  <c r="R119" i="66"/>
  <c r="Q120" i="66"/>
  <c r="I121" i="66"/>
  <c r="Y120" i="66"/>
  <c r="I89" i="66"/>
  <c r="Y89" i="66" s="1"/>
  <c r="Y88" i="66"/>
  <c r="C25" i="66"/>
  <c r="F25" i="66"/>
  <c r="Y25" i="66"/>
  <c r="J25" i="66"/>
  <c r="E25" i="66"/>
  <c r="R86" i="66"/>
  <c r="Q87" i="66"/>
  <c r="R18" i="66"/>
  <c r="G14" i="64"/>
  <c r="O442" i="66"/>
  <c r="R442" i="66" s="1"/>
  <c r="L14" i="64"/>
  <c r="S442" i="66"/>
  <c r="V442" i="66" s="1"/>
  <c r="R14" i="64"/>
  <c r="U581" i="66"/>
  <c r="U615" i="66" s="1"/>
  <c r="V615" i="66" s="1"/>
  <c r="V580" i="66"/>
  <c r="M581" i="66"/>
  <c r="M615" i="66" s="1"/>
  <c r="N615" i="66" s="1"/>
  <c r="Y615" i="66" s="1"/>
  <c r="N580" i="66"/>
  <c r="Y580" i="66" s="1"/>
  <c r="K12" i="66"/>
  <c r="N12" i="66" s="1"/>
  <c r="Y12" i="66" s="1"/>
  <c r="K12" i="47"/>
  <c r="N12" i="47" s="1"/>
  <c r="O109" i="66"/>
  <c r="R109" i="66" s="1"/>
  <c r="O33" i="47"/>
  <c r="S142" i="66"/>
  <c r="V142" i="66" s="1"/>
  <c r="S40" i="47"/>
  <c r="V40" i="47" s="1"/>
  <c r="G14" i="60"/>
  <c r="O309" i="66"/>
  <c r="R309" i="66" s="1"/>
  <c r="O75" i="47"/>
  <c r="S409" i="66"/>
  <c r="V409" i="66" s="1"/>
  <c r="S96" i="47"/>
  <c r="V96" i="47" s="1"/>
  <c r="S12" i="66"/>
  <c r="V12" i="66" s="1"/>
  <c r="S12" i="47"/>
  <c r="V12" i="47" s="1"/>
  <c r="K77" i="66"/>
  <c r="N77" i="66" s="1"/>
  <c r="Y77" i="66" s="1"/>
  <c r="K26" i="47"/>
  <c r="N26" i="47" s="1"/>
  <c r="K175" i="66"/>
  <c r="N175" i="66" s="1"/>
  <c r="Y175" i="66" s="1"/>
  <c r="K47" i="47"/>
  <c r="N47" i="47" s="1"/>
  <c r="K342" i="66"/>
  <c r="N342" i="66" s="1"/>
  <c r="Y342" i="66" s="1"/>
  <c r="K82" i="47"/>
  <c r="N82" i="47" s="1"/>
  <c r="K376" i="66"/>
  <c r="N376" i="66" s="1"/>
  <c r="Y376" i="66" s="1"/>
  <c r="K89" i="47"/>
  <c r="N89" i="47" s="1"/>
  <c r="K103" i="47"/>
  <c r="N103" i="47" s="1"/>
  <c r="K44" i="66"/>
  <c r="N44" i="66" s="1"/>
  <c r="Y44" i="66" s="1"/>
  <c r="K19" i="47"/>
  <c r="N19" i="47" s="1"/>
  <c r="O77" i="66"/>
  <c r="R77" i="66" s="1"/>
  <c r="O26" i="47"/>
  <c r="S77" i="66"/>
  <c r="V77" i="66" s="1"/>
  <c r="S26" i="47"/>
  <c r="V26" i="47" s="1"/>
  <c r="O175" i="66"/>
  <c r="R175" i="66" s="1"/>
  <c r="O47" i="47"/>
  <c r="S175" i="66"/>
  <c r="V175" i="66" s="1"/>
  <c r="S47" i="47"/>
  <c r="V47" i="47" s="1"/>
  <c r="K68" i="47"/>
  <c r="N68" i="47" s="1"/>
  <c r="K309" i="66"/>
  <c r="N309" i="66" s="1"/>
  <c r="Y309" i="66" s="1"/>
  <c r="K75" i="47"/>
  <c r="N75" i="47" s="1"/>
  <c r="G14" i="62"/>
  <c r="O376" i="66"/>
  <c r="R376" i="66" s="1"/>
  <c r="O89" i="47"/>
  <c r="S376" i="66"/>
  <c r="V376" i="66" s="1"/>
  <c r="S89" i="47"/>
  <c r="V89" i="47" s="1"/>
  <c r="O103" i="47"/>
  <c r="S103" i="47"/>
  <c r="V103" i="47" s="1"/>
  <c r="K574" i="66"/>
  <c r="N574" i="66" s="1"/>
  <c r="Y574" i="66" s="1"/>
  <c r="K131" i="47"/>
  <c r="R14" i="51"/>
  <c r="O44" i="66"/>
  <c r="R44" i="66" s="1"/>
  <c r="O19" i="47"/>
  <c r="S44" i="66"/>
  <c r="V44" i="66" s="1"/>
  <c r="S19" i="47"/>
  <c r="V19" i="47" s="1"/>
  <c r="G14" i="54"/>
  <c r="S109" i="66"/>
  <c r="V109" i="66" s="1"/>
  <c r="S33" i="47"/>
  <c r="V33" i="47" s="1"/>
  <c r="L14" i="55"/>
  <c r="K142" i="66"/>
  <c r="N142" i="66" s="1"/>
  <c r="Y142" i="66" s="1"/>
  <c r="K40" i="47"/>
  <c r="N40" i="47" s="1"/>
  <c r="G14" i="59"/>
  <c r="O68" i="47"/>
  <c r="S68" i="47"/>
  <c r="V68" i="47" s="1"/>
  <c r="S309" i="66"/>
  <c r="V309" i="66" s="1"/>
  <c r="S75" i="47"/>
  <c r="V75" i="47" s="1"/>
  <c r="O342" i="66"/>
  <c r="R342" i="66" s="1"/>
  <c r="O82" i="47"/>
  <c r="S342" i="66"/>
  <c r="V342" i="66" s="1"/>
  <c r="S82" i="47"/>
  <c r="V82" i="47" s="1"/>
  <c r="L14" i="63"/>
  <c r="K409" i="66"/>
  <c r="N409" i="66" s="1"/>
  <c r="Y409" i="66" s="1"/>
  <c r="K96" i="47"/>
  <c r="N96" i="47" s="1"/>
  <c r="S131" i="47"/>
  <c r="S574" i="66"/>
  <c r="V574" i="66" s="1"/>
  <c r="O142" i="66"/>
  <c r="R142" i="66" s="1"/>
  <c r="O40" i="47"/>
  <c r="O409" i="66"/>
  <c r="R409" i="66" s="1"/>
  <c r="O96" i="47"/>
  <c r="O574" i="66"/>
  <c r="R574" i="66" s="1"/>
  <c r="O131" i="47"/>
  <c r="L37" i="45"/>
  <c r="F14" i="51"/>
  <c r="G14" i="51" s="1"/>
  <c r="Q37" i="48"/>
  <c r="R37" i="48" s="1"/>
  <c r="K37" i="48"/>
  <c r="L37" i="48" s="1"/>
  <c r="F37" i="48"/>
  <c r="G37" i="48" s="1"/>
  <c r="I47" i="61" l="1"/>
  <c r="H48" i="61"/>
  <c r="H48" i="65"/>
  <c r="I47" i="65"/>
  <c r="I38" i="56"/>
  <c r="H39" i="56"/>
  <c r="I38" i="58"/>
  <c r="H39" i="58"/>
  <c r="I38" i="59"/>
  <c r="H39" i="59"/>
  <c r="I36" i="53"/>
  <c r="H37" i="53"/>
  <c r="H38" i="55"/>
  <c r="I37" i="55"/>
  <c r="I37" i="54"/>
  <c r="H38" i="54"/>
  <c r="H38" i="63"/>
  <c r="I37" i="63"/>
  <c r="H38" i="52"/>
  <c r="I37" i="52"/>
  <c r="I37" i="51"/>
  <c r="H38" i="51"/>
  <c r="H38" i="60"/>
  <c r="I37" i="60"/>
  <c r="R19" i="66"/>
  <c r="Q464" i="66"/>
  <c r="Q465" i="66" s="1"/>
  <c r="R465" i="66" s="1"/>
  <c r="R463" i="66"/>
  <c r="I68" i="66"/>
  <c r="Y68" i="66" s="1"/>
  <c r="Y66" i="66"/>
  <c r="R65" i="66"/>
  <c r="Q33" i="66"/>
  <c r="R33" i="66" s="1"/>
  <c r="R32" i="66"/>
  <c r="Q31" i="66"/>
  <c r="R31" i="66" s="1"/>
  <c r="R30" i="66"/>
  <c r="I55" i="46"/>
  <c r="O55" i="46" s="1"/>
  <c r="H56" i="46"/>
  <c r="M57" i="46"/>
  <c r="N56" i="46"/>
  <c r="N554" i="66"/>
  <c r="Y554" i="66" s="1"/>
  <c r="M555" i="66"/>
  <c r="V554" i="66"/>
  <c r="U555" i="66"/>
  <c r="R554" i="66"/>
  <c r="Q555" i="66"/>
  <c r="N520" i="66"/>
  <c r="Y520" i="66" s="1"/>
  <c r="M521" i="66"/>
  <c r="R321" i="66"/>
  <c r="Q322" i="66"/>
  <c r="R187" i="66"/>
  <c r="Q188" i="66"/>
  <c r="R188" i="66" s="1"/>
  <c r="Q221" i="66"/>
  <c r="R221" i="66" s="1"/>
  <c r="R220" i="66"/>
  <c r="Y288" i="66"/>
  <c r="I289" i="66"/>
  <c r="Q154" i="66"/>
  <c r="R153" i="66"/>
  <c r="M651" i="66"/>
  <c r="N650" i="66"/>
  <c r="Y650" i="66" s="1"/>
  <c r="U651" i="66"/>
  <c r="V650" i="66"/>
  <c r="Q620" i="66"/>
  <c r="Q621" i="66" s="1"/>
  <c r="R621" i="66" s="1"/>
  <c r="R619" i="66"/>
  <c r="Q651" i="66"/>
  <c r="R650" i="66"/>
  <c r="N581" i="66"/>
  <c r="Y581" i="66" s="1"/>
  <c r="M582" i="66"/>
  <c r="M616" i="66" s="1"/>
  <c r="N616" i="66" s="1"/>
  <c r="Y616" i="66" s="1"/>
  <c r="V581" i="66"/>
  <c r="U582" i="66"/>
  <c r="U616" i="66" s="1"/>
  <c r="V616" i="66" s="1"/>
  <c r="R585" i="66"/>
  <c r="Q586" i="66"/>
  <c r="Q587" i="66" s="1"/>
  <c r="R587" i="66" s="1"/>
  <c r="N553" i="66"/>
  <c r="Y553" i="66" s="1"/>
  <c r="V553" i="66"/>
  <c r="R553" i="66"/>
  <c r="N519" i="66"/>
  <c r="Y519" i="66" s="1"/>
  <c r="Q485" i="66"/>
  <c r="R484" i="66"/>
  <c r="V487" i="66"/>
  <c r="N487" i="66"/>
  <c r="Y487" i="66" s="1"/>
  <c r="I422" i="66"/>
  <c r="Y422" i="66" s="1"/>
  <c r="Y421" i="66"/>
  <c r="Q420" i="66"/>
  <c r="R419" i="66"/>
  <c r="I389" i="66"/>
  <c r="Y388" i="66"/>
  <c r="Q385" i="66"/>
  <c r="R384" i="66"/>
  <c r="I355" i="66"/>
  <c r="Y355" i="66" s="1"/>
  <c r="Q353" i="66"/>
  <c r="Q354" i="66" s="1"/>
  <c r="R352" i="66"/>
  <c r="I322" i="66"/>
  <c r="R320" i="66"/>
  <c r="Q287" i="66"/>
  <c r="R286" i="66"/>
  <c r="I221" i="66"/>
  <c r="Y221" i="66" s="1"/>
  <c r="I256" i="66"/>
  <c r="Y256" i="66" s="1"/>
  <c r="R186" i="66"/>
  <c r="I188" i="66"/>
  <c r="Y188" i="66" s="1"/>
  <c r="R152" i="66"/>
  <c r="I155" i="66"/>
  <c r="Y154" i="66"/>
  <c r="I122" i="66"/>
  <c r="Y121" i="66"/>
  <c r="Q121" i="66"/>
  <c r="R120" i="66"/>
  <c r="R87" i="66"/>
  <c r="Q88" i="66"/>
  <c r="Q89" i="66" s="1"/>
  <c r="I90" i="66"/>
  <c r="Q21" i="66"/>
  <c r="R20" i="66"/>
  <c r="S608" i="66"/>
  <c r="V608" i="66" s="1"/>
  <c r="S138" i="47"/>
  <c r="O608" i="66"/>
  <c r="R608" i="66" s="1"/>
  <c r="O138" i="47"/>
  <c r="O12" i="66"/>
  <c r="R12" i="66" s="1"/>
  <c r="O12" i="47"/>
  <c r="K608" i="66"/>
  <c r="N608" i="66" s="1"/>
  <c r="Y608" i="66" s="1"/>
  <c r="K138" i="47"/>
  <c r="Q37" i="44"/>
  <c r="K37" i="44"/>
  <c r="L37" i="44" s="1"/>
  <c r="F37" i="44"/>
  <c r="I48" i="65" l="1"/>
  <c r="H49" i="65"/>
  <c r="I48" i="61"/>
  <c r="H49" i="61"/>
  <c r="I39" i="59"/>
  <c r="H40" i="59"/>
  <c r="I39" i="58"/>
  <c r="H40" i="58"/>
  <c r="H40" i="56"/>
  <c r="I39" i="56"/>
  <c r="I38" i="55"/>
  <c r="H39" i="55"/>
  <c r="I38" i="52"/>
  <c r="H39" i="52"/>
  <c r="I38" i="60"/>
  <c r="H39" i="60"/>
  <c r="I38" i="63"/>
  <c r="H39" i="63"/>
  <c r="I38" i="54"/>
  <c r="H39" i="54"/>
  <c r="I38" i="51"/>
  <c r="H39" i="51"/>
  <c r="H38" i="53"/>
  <c r="I37" i="53"/>
  <c r="R464" i="66"/>
  <c r="M58" i="46"/>
  <c r="N57" i="46"/>
  <c r="H57" i="46"/>
  <c r="I56" i="46"/>
  <c r="O56" i="46" s="1"/>
  <c r="R555" i="66"/>
  <c r="Q556" i="66"/>
  <c r="V555" i="66"/>
  <c r="U556" i="66"/>
  <c r="N555" i="66"/>
  <c r="Y555" i="66" s="1"/>
  <c r="M556" i="66"/>
  <c r="N521" i="66"/>
  <c r="Y521" i="66" s="1"/>
  <c r="M522" i="66"/>
  <c r="Y389" i="66"/>
  <c r="I390" i="66"/>
  <c r="Y322" i="66"/>
  <c r="I323" i="66"/>
  <c r="R322" i="66"/>
  <c r="Q323" i="66"/>
  <c r="R89" i="66"/>
  <c r="Q90" i="66"/>
  <c r="R354" i="66"/>
  <c r="Q355" i="66"/>
  <c r="R355" i="66" s="1"/>
  <c r="I290" i="66"/>
  <c r="Y289" i="66"/>
  <c r="Q155" i="66"/>
  <c r="R154" i="66"/>
  <c r="Q652" i="66"/>
  <c r="R651" i="66"/>
  <c r="U652" i="66"/>
  <c r="V651" i="66"/>
  <c r="R620" i="66"/>
  <c r="N651" i="66"/>
  <c r="Y651" i="66" s="1"/>
  <c r="M652" i="66"/>
  <c r="U583" i="66"/>
  <c r="U617" i="66" s="1"/>
  <c r="V617" i="66" s="1"/>
  <c r="V582" i="66"/>
  <c r="R586" i="66"/>
  <c r="M583" i="66"/>
  <c r="M617" i="66" s="1"/>
  <c r="N617" i="66" s="1"/>
  <c r="Y617" i="66" s="1"/>
  <c r="N582" i="66"/>
  <c r="Y582" i="66" s="1"/>
  <c r="U489" i="66"/>
  <c r="M489" i="66"/>
  <c r="R485" i="66"/>
  <c r="Q486" i="66"/>
  <c r="I423" i="66"/>
  <c r="R420" i="66"/>
  <c r="Q421" i="66"/>
  <c r="Q422" i="66" s="1"/>
  <c r="R422" i="66" s="1"/>
  <c r="Q386" i="66"/>
  <c r="R385" i="66"/>
  <c r="R353" i="66"/>
  <c r="I356" i="66"/>
  <c r="Q288" i="66"/>
  <c r="R287" i="66"/>
  <c r="I222" i="66"/>
  <c r="I223" i="66" s="1"/>
  <c r="Y223" i="66" s="1"/>
  <c r="I257" i="66"/>
  <c r="Y257" i="66" s="1"/>
  <c r="I189" i="66"/>
  <c r="I156" i="66"/>
  <c r="Y155" i="66"/>
  <c r="Q122" i="66"/>
  <c r="R121" i="66"/>
  <c r="I123" i="66"/>
  <c r="Y122" i="66"/>
  <c r="I91" i="66"/>
  <c r="Y90" i="66"/>
  <c r="R88" i="66"/>
  <c r="R21" i="66"/>
  <c r="Q22" i="66"/>
  <c r="Q34" i="66" s="1"/>
  <c r="O541" i="66"/>
  <c r="R541" i="66" s="1"/>
  <c r="O124" i="47"/>
  <c r="K541" i="66"/>
  <c r="N541" i="66" s="1"/>
  <c r="Y541" i="66" s="1"/>
  <c r="K124" i="47"/>
  <c r="N124" i="47" s="1"/>
  <c r="G37" i="44"/>
  <c r="S541" i="66"/>
  <c r="V541" i="66" s="1"/>
  <c r="S124" i="47"/>
  <c r="V124" i="47" s="1"/>
  <c r="R37" i="44"/>
  <c r="Y140" i="47"/>
  <c r="Y141" i="47"/>
  <c r="Y142" i="47"/>
  <c r="Y143" i="47"/>
  <c r="Y144" i="47"/>
  <c r="Y145" i="47"/>
  <c r="L145" i="47"/>
  <c r="P145" i="47"/>
  <c r="T145" i="47"/>
  <c r="I40" i="56" l="1"/>
  <c r="H41" i="56"/>
  <c r="H50" i="61"/>
  <c r="I49" i="61"/>
  <c r="I40" i="58"/>
  <c r="H41" i="58"/>
  <c r="H50" i="65"/>
  <c r="I49" i="65"/>
  <c r="I40" i="59"/>
  <c r="H41" i="59"/>
  <c r="I39" i="63"/>
  <c r="H40" i="63"/>
  <c r="H40" i="55"/>
  <c r="I39" i="55"/>
  <c r="I39" i="54"/>
  <c r="H40" i="54"/>
  <c r="I38" i="53"/>
  <c r="H39" i="53"/>
  <c r="H40" i="52"/>
  <c r="I39" i="52"/>
  <c r="I39" i="51"/>
  <c r="H40" i="51"/>
  <c r="H40" i="60"/>
  <c r="I39" i="60"/>
  <c r="Q466" i="66"/>
  <c r="R466" i="66" s="1"/>
  <c r="Q35" i="66"/>
  <c r="R35" i="66" s="1"/>
  <c r="R34" i="66"/>
  <c r="H58" i="46"/>
  <c r="I57" i="46"/>
  <c r="O57" i="46" s="1"/>
  <c r="M59" i="46"/>
  <c r="N58" i="46"/>
  <c r="N522" i="66"/>
  <c r="Y522" i="66" s="1"/>
  <c r="M523" i="66"/>
  <c r="R556" i="66"/>
  <c r="Q557" i="66"/>
  <c r="V556" i="66"/>
  <c r="U557" i="66"/>
  <c r="N556" i="66"/>
  <c r="Y556" i="66" s="1"/>
  <c r="M557" i="66"/>
  <c r="N489" i="66"/>
  <c r="Y489" i="66" s="1"/>
  <c r="M490" i="66"/>
  <c r="V489" i="66"/>
  <c r="U490" i="66"/>
  <c r="Y390" i="66"/>
  <c r="I391" i="66"/>
  <c r="Y356" i="66"/>
  <c r="I357" i="66"/>
  <c r="Y323" i="66"/>
  <c r="I324" i="66"/>
  <c r="R323" i="66"/>
  <c r="Q324" i="66"/>
  <c r="Y290" i="66"/>
  <c r="I291" i="66"/>
  <c r="Y189" i="66"/>
  <c r="I190" i="66"/>
  <c r="Q91" i="66"/>
  <c r="R90" i="66"/>
  <c r="R288" i="66"/>
  <c r="Q289" i="66"/>
  <c r="Q156" i="66"/>
  <c r="R155" i="66"/>
  <c r="N652" i="66"/>
  <c r="Y652" i="66" s="1"/>
  <c r="M653" i="66"/>
  <c r="M654" i="66" s="1"/>
  <c r="N654" i="66" s="1"/>
  <c r="Y654" i="66" s="1"/>
  <c r="V652" i="66"/>
  <c r="U653" i="66"/>
  <c r="U654" i="66" s="1"/>
  <c r="V654" i="66" s="1"/>
  <c r="Q622" i="66"/>
  <c r="R652" i="66"/>
  <c r="Q653" i="66"/>
  <c r="Q654" i="66" s="1"/>
  <c r="R654" i="66" s="1"/>
  <c r="Q588" i="66"/>
  <c r="M584" i="66"/>
  <c r="M618" i="66" s="1"/>
  <c r="N618" i="66" s="1"/>
  <c r="Y618" i="66" s="1"/>
  <c r="N583" i="66"/>
  <c r="Y583" i="66" s="1"/>
  <c r="U584" i="66"/>
  <c r="U618" i="66" s="1"/>
  <c r="V618" i="66" s="1"/>
  <c r="V583" i="66"/>
  <c r="Q487" i="66"/>
  <c r="Q488" i="66" s="1"/>
  <c r="R488" i="66" s="1"/>
  <c r="R486" i="66"/>
  <c r="R421" i="66"/>
  <c r="I424" i="66"/>
  <c r="I425" i="66" s="1"/>
  <c r="I426" i="66" s="1"/>
  <c r="Y423" i="66"/>
  <c r="Q387" i="66"/>
  <c r="R386" i="66"/>
  <c r="I258" i="66"/>
  <c r="I259" i="66" s="1"/>
  <c r="Y222" i="66"/>
  <c r="Q222" i="66"/>
  <c r="Q189" i="66"/>
  <c r="I157" i="66"/>
  <c r="Y156" i="66"/>
  <c r="I124" i="66"/>
  <c r="Y124" i="66" s="1"/>
  <c r="Y123" i="66"/>
  <c r="R122" i="66"/>
  <c r="Q123" i="66"/>
  <c r="I92" i="66"/>
  <c r="Y92" i="66" s="1"/>
  <c r="Y91" i="66"/>
  <c r="Q23" i="66"/>
  <c r="R22" i="66"/>
  <c r="L144" i="47"/>
  <c r="P144" i="47"/>
  <c r="T144" i="47"/>
  <c r="Y133" i="47"/>
  <c r="Y134" i="47"/>
  <c r="Y135" i="47"/>
  <c r="Y136" i="47"/>
  <c r="Y137" i="47"/>
  <c r="Y132" i="47"/>
  <c r="L137" i="47"/>
  <c r="P137" i="47"/>
  <c r="T137" i="47"/>
  <c r="Y126" i="47"/>
  <c r="Y127" i="47"/>
  <c r="Y128" i="47"/>
  <c r="Y129" i="47"/>
  <c r="Y130" i="47"/>
  <c r="Y125" i="47"/>
  <c r="L130" i="47"/>
  <c r="P130" i="47"/>
  <c r="T130" i="47"/>
  <c r="Y119" i="47"/>
  <c r="Y120" i="47"/>
  <c r="Y121" i="47"/>
  <c r="Y122" i="47"/>
  <c r="Y123" i="47"/>
  <c r="Y118" i="47"/>
  <c r="L123" i="47"/>
  <c r="P123" i="47"/>
  <c r="T123" i="47"/>
  <c r="Y112" i="47"/>
  <c r="Y113" i="47"/>
  <c r="Y114" i="47"/>
  <c r="Y115" i="47"/>
  <c r="Y116" i="47"/>
  <c r="Y111" i="47"/>
  <c r="M116" i="47"/>
  <c r="M117" i="47" s="1"/>
  <c r="N117" i="47" s="1"/>
  <c r="P116" i="47"/>
  <c r="L116" i="47"/>
  <c r="O116" i="47"/>
  <c r="Y105" i="47"/>
  <c r="Y106" i="47"/>
  <c r="Y107" i="47"/>
  <c r="Y108" i="47"/>
  <c r="Y109" i="47"/>
  <c r="Y104" i="47"/>
  <c r="P109" i="47"/>
  <c r="Y98" i="47"/>
  <c r="Y99" i="47"/>
  <c r="Y100" i="47"/>
  <c r="Y101" i="47"/>
  <c r="Y102" i="47"/>
  <c r="Y97" i="47"/>
  <c r="L102" i="47"/>
  <c r="P102" i="47"/>
  <c r="T102" i="47"/>
  <c r="Y91" i="47"/>
  <c r="Y92" i="47"/>
  <c r="Y93" i="47"/>
  <c r="Y94" i="47"/>
  <c r="Y95" i="47"/>
  <c r="Y90" i="47"/>
  <c r="L95" i="47"/>
  <c r="M95" i="47"/>
  <c r="P95" i="47"/>
  <c r="T95" i="47"/>
  <c r="U95" i="47"/>
  <c r="Y84" i="47"/>
  <c r="Y85" i="47"/>
  <c r="Y86" i="47"/>
  <c r="Y87" i="47"/>
  <c r="Y88" i="47"/>
  <c r="Y83" i="47"/>
  <c r="L88" i="47"/>
  <c r="M88" i="47"/>
  <c r="P88" i="47"/>
  <c r="T88" i="47"/>
  <c r="U88" i="47"/>
  <c r="Y77" i="47"/>
  <c r="Y78" i="47"/>
  <c r="Y79" i="47"/>
  <c r="Y80" i="47"/>
  <c r="Y81" i="47"/>
  <c r="Y76" i="47"/>
  <c r="L81" i="47"/>
  <c r="M81" i="47"/>
  <c r="P81" i="47"/>
  <c r="T81" i="47"/>
  <c r="U81" i="47"/>
  <c r="Y70" i="47"/>
  <c r="Y71" i="47"/>
  <c r="Y72" i="47"/>
  <c r="Y73" i="47"/>
  <c r="Y74" i="47"/>
  <c r="Y69" i="47"/>
  <c r="L74" i="47"/>
  <c r="M74" i="47"/>
  <c r="P74" i="47"/>
  <c r="T74" i="47"/>
  <c r="U74" i="47"/>
  <c r="Y63" i="47"/>
  <c r="Y64" i="47"/>
  <c r="Y65" i="47"/>
  <c r="Y66" i="47"/>
  <c r="Y67" i="47"/>
  <c r="Y62" i="47"/>
  <c r="L67" i="47"/>
  <c r="M67" i="47"/>
  <c r="P67" i="47"/>
  <c r="T67" i="47"/>
  <c r="U67" i="47"/>
  <c r="L69" i="47"/>
  <c r="M69" i="47"/>
  <c r="P69" i="47"/>
  <c r="T69" i="47"/>
  <c r="U69" i="47"/>
  <c r="Y56" i="47"/>
  <c r="Y57" i="47"/>
  <c r="Y58" i="47"/>
  <c r="Y59" i="47"/>
  <c r="Y60" i="47"/>
  <c r="Y55" i="47"/>
  <c r="L60" i="47"/>
  <c r="M60" i="47"/>
  <c r="P60" i="47"/>
  <c r="T60" i="47"/>
  <c r="U60" i="47"/>
  <c r="Y49" i="47"/>
  <c r="Y50" i="47"/>
  <c r="Y51" i="47"/>
  <c r="Y52" i="47"/>
  <c r="Y53" i="47"/>
  <c r="Y48" i="47"/>
  <c r="L53" i="47"/>
  <c r="P53" i="47"/>
  <c r="T53" i="47"/>
  <c r="U53" i="47"/>
  <c r="Y42" i="47"/>
  <c r="Y43" i="47"/>
  <c r="Y44" i="47"/>
  <c r="Y45" i="47"/>
  <c r="Y46" i="47"/>
  <c r="Y41" i="47"/>
  <c r="L46" i="47"/>
  <c r="M46" i="47"/>
  <c r="P46" i="47"/>
  <c r="T46" i="47"/>
  <c r="U46" i="47"/>
  <c r="Y35" i="47"/>
  <c r="Y36" i="47"/>
  <c r="Y37" i="47"/>
  <c r="Y38" i="47"/>
  <c r="Y39" i="47"/>
  <c r="Y34" i="47"/>
  <c r="L39" i="47"/>
  <c r="M39" i="47"/>
  <c r="P39" i="47"/>
  <c r="T39" i="47"/>
  <c r="U39" i="47"/>
  <c r="Y28" i="47"/>
  <c r="Y29" i="47"/>
  <c r="Y30" i="47"/>
  <c r="Y31" i="47"/>
  <c r="Y32" i="47"/>
  <c r="Y27" i="47"/>
  <c r="M32" i="47"/>
  <c r="P32" i="47"/>
  <c r="T32" i="47"/>
  <c r="U32" i="47"/>
  <c r="Y21" i="47"/>
  <c r="Y22" i="47"/>
  <c r="Y23" i="47"/>
  <c r="Y24" i="47"/>
  <c r="Y25" i="47"/>
  <c r="Y20" i="47"/>
  <c r="L25" i="47"/>
  <c r="M25" i="47"/>
  <c r="P25" i="47"/>
  <c r="T25" i="47"/>
  <c r="U25" i="47"/>
  <c r="L18" i="47"/>
  <c r="M18" i="47"/>
  <c r="P18" i="47"/>
  <c r="T18" i="47"/>
  <c r="U18" i="47"/>
  <c r="Y18" i="47"/>
  <c r="Y14" i="47"/>
  <c r="Y15" i="47"/>
  <c r="Y16" i="47"/>
  <c r="Y17" i="47"/>
  <c r="C14" i="47"/>
  <c r="C15" i="47" s="1"/>
  <c r="E14" i="47"/>
  <c r="E15" i="47" s="1"/>
  <c r="F14" i="47"/>
  <c r="F15" i="47" s="1"/>
  <c r="I14" i="47"/>
  <c r="I15" i="47" s="1"/>
  <c r="J14" i="47"/>
  <c r="L14" i="47"/>
  <c r="M14" i="47"/>
  <c r="P14" i="47"/>
  <c r="Q14" i="47"/>
  <c r="Q15" i="47" s="1"/>
  <c r="T14" i="47"/>
  <c r="U14" i="47"/>
  <c r="Y13" i="47"/>
  <c r="Y11" i="47"/>
  <c r="L11" i="47"/>
  <c r="M11" i="47"/>
  <c r="P11" i="47"/>
  <c r="T11" i="47"/>
  <c r="U11" i="47"/>
  <c r="Y7" i="47"/>
  <c r="Y8" i="47"/>
  <c r="Y9" i="47"/>
  <c r="Y10" i="47"/>
  <c r="Y6" i="47"/>
  <c r="H13" i="55"/>
  <c r="H14" i="55" s="1"/>
  <c r="K36" i="45"/>
  <c r="F36" i="45"/>
  <c r="Q36" i="45"/>
  <c r="I50" i="61" l="1"/>
  <c r="H51" i="61"/>
  <c r="I50" i="65"/>
  <c r="H51" i="65"/>
  <c r="I40" i="51"/>
  <c r="H41" i="51"/>
  <c r="I40" i="54"/>
  <c r="H41" i="54"/>
  <c r="H42" i="58"/>
  <c r="I41" i="58"/>
  <c r="H42" i="59"/>
  <c r="I41" i="59"/>
  <c r="I40" i="52"/>
  <c r="H41" i="52"/>
  <c r="I40" i="55"/>
  <c r="H41" i="55"/>
  <c r="I40" i="63"/>
  <c r="H41" i="63"/>
  <c r="H42" i="56"/>
  <c r="I41" i="56"/>
  <c r="I40" i="60"/>
  <c r="H41" i="60"/>
  <c r="H40" i="53"/>
  <c r="I39" i="53"/>
  <c r="Y426" i="66"/>
  <c r="I427" i="66"/>
  <c r="N59" i="46"/>
  <c r="M60" i="46"/>
  <c r="N557" i="66"/>
  <c r="Y557" i="66" s="1"/>
  <c r="M558" i="66"/>
  <c r="R557" i="66"/>
  <c r="Q558" i="66"/>
  <c r="V557" i="66"/>
  <c r="U558" i="66"/>
  <c r="N523" i="66"/>
  <c r="Y523" i="66" s="1"/>
  <c r="M524" i="66"/>
  <c r="I260" i="66"/>
  <c r="Y259" i="66"/>
  <c r="H59" i="46"/>
  <c r="I58" i="46"/>
  <c r="O58" i="46" s="1"/>
  <c r="Y190" i="66"/>
  <c r="I191" i="66"/>
  <c r="R324" i="66"/>
  <c r="Q325" i="66"/>
  <c r="Y357" i="66"/>
  <c r="I358" i="66"/>
  <c r="Y157" i="66"/>
  <c r="I158" i="66"/>
  <c r="Y258" i="66"/>
  <c r="Y291" i="66"/>
  <c r="I292" i="66"/>
  <c r="Y324" i="66"/>
  <c r="I325" i="66"/>
  <c r="Y391" i="66"/>
  <c r="I392" i="66"/>
  <c r="R123" i="66"/>
  <c r="Q124" i="66"/>
  <c r="R91" i="66"/>
  <c r="Q92" i="66"/>
  <c r="Y425" i="66"/>
  <c r="V490" i="66"/>
  <c r="U491" i="66"/>
  <c r="N490" i="66"/>
  <c r="Y490" i="66" s="1"/>
  <c r="M491" i="66"/>
  <c r="R622" i="66"/>
  <c r="Q623" i="66"/>
  <c r="Y424" i="66"/>
  <c r="R222" i="66"/>
  <c r="Q223" i="66"/>
  <c r="R223" i="66" s="1"/>
  <c r="R189" i="66"/>
  <c r="Q190" i="66"/>
  <c r="Q290" i="66"/>
  <c r="R289" i="66"/>
  <c r="Q157" i="66"/>
  <c r="R156" i="66"/>
  <c r="R653" i="66"/>
  <c r="V653" i="66"/>
  <c r="N653" i="66"/>
  <c r="Y653" i="66" s="1"/>
  <c r="M585" i="66"/>
  <c r="M619" i="66" s="1"/>
  <c r="N619" i="66" s="1"/>
  <c r="Y619" i="66" s="1"/>
  <c r="N584" i="66"/>
  <c r="Y584" i="66" s="1"/>
  <c r="R588" i="66"/>
  <c r="Q589" i="66"/>
  <c r="U585" i="66"/>
  <c r="U619" i="66" s="1"/>
  <c r="V619" i="66" s="1"/>
  <c r="V584" i="66"/>
  <c r="R487" i="66"/>
  <c r="Q423" i="66"/>
  <c r="Q424" i="66" s="1"/>
  <c r="Q425" i="66" s="1"/>
  <c r="Q426" i="66" s="1"/>
  <c r="Q388" i="66"/>
  <c r="Q389" i="66" s="1"/>
  <c r="R387" i="66"/>
  <c r="Q356" i="66"/>
  <c r="I224" i="66"/>
  <c r="I125" i="66"/>
  <c r="I93" i="66"/>
  <c r="Q24" i="66"/>
  <c r="R23" i="66"/>
  <c r="H15" i="55"/>
  <c r="I14" i="55"/>
  <c r="S130" i="47"/>
  <c r="S573" i="66"/>
  <c r="V573" i="66" s="1"/>
  <c r="R36" i="45"/>
  <c r="K573" i="66"/>
  <c r="N573" i="66" s="1"/>
  <c r="Y573" i="66" s="1"/>
  <c r="O130" i="47"/>
  <c r="O573" i="66"/>
  <c r="R573" i="66" s="1"/>
  <c r="K130" i="47"/>
  <c r="L36" i="45"/>
  <c r="G36" i="45"/>
  <c r="J13" i="65"/>
  <c r="K13" i="65"/>
  <c r="S474" i="66" s="1"/>
  <c r="F13" i="65"/>
  <c r="O474" i="66" s="1"/>
  <c r="R474" i="66" s="1"/>
  <c r="Q13" i="64"/>
  <c r="K441" i="66" s="1"/>
  <c r="N441" i="66" s="1"/>
  <c r="Y441" i="66" s="1"/>
  <c r="K13" i="64"/>
  <c r="S441" i="66" s="1"/>
  <c r="V441" i="66" s="1"/>
  <c r="F13" i="64"/>
  <c r="O441" i="66" s="1"/>
  <c r="R441" i="66" s="1"/>
  <c r="Q13" i="63"/>
  <c r="R13" i="63" s="1"/>
  <c r="K13" i="63"/>
  <c r="S408" i="66" s="1"/>
  <c r="V408" i="66" s="1"/>
  <c r="F13" i="63"/>
  <c r="O408" i="66" s="1"/>
  <c r="R408" i="66" s="1"/>
  <c r="Q13" i="62"/>
  <c r="R13" i="62" s="1"/>
  <c r="K13" i="62"/>
  <c r="S375" i="66" s="1"/>
  <c r="V375" i="66" s="1"/>
  <c r="F13" i="62"/>
  <c r="O375" i="66" s="1"/>
  <c r="R375" i="66" s="1"/>
  <c r="Q13" i="61"/>
  <c r="R13" i="61" s="1"/>
  <c r="K13" i="61"/>
  <c r="S341" i="66" s="1"/>
  <c r="V341" i="66" s="1"/>
  <c r="F13" i="61"/>
  <c r="Q13" i="60"/>
  <c r="K308" i="66" s="1"/>
  <c r="N308" i="66" s="1"/>
  <c r="Y308" i="66" s="1"/>
  <c r="K13" i="60"/>
  <c r="S308" i="66" s="1"/>
  <c r="V308" i="66" s="1"/>
  <c r="F13" i="60"/>
  <c r="G13" i="60" s="1"/>
  <c r="Q13" i="59"/>
  <c r="K13" i="59"/>
  <c r="S275" i="66" s="1"/>
  <c r="V275" i="66" s="1"/>
  <c r="F13" i="59"/>
  <c r="O275" i="66" s="1"/>
  <c r="R275" i="66" s="1"/>
  <c r="Q13" i="58"/>
  <c r="R13" i="58" s="1"/>
  <c r="K13" i="58"/>
  <c r="S242" i="66" s="1"/>
  <c r="V242" i="66" s="1"/>
  <c r="F13" i="58"/>
  <c r="O242" i="66" s="1"/>
  <c r="R242" i="66" s="1"/>
  <c r="Q13" i="57"/>
  <c r="K207" i="66" s="1"/>
  <c r="K13" i="57"/>
  <c r="S207" i="66" s="1"/>
  <c r="V207" i="66" s="1"/>
  <c r="F13" i="57"/>
  <c r="O207" i="66" s="1"/>
  <c r="R207" i="66" s="1"/>
  <c r="Q13" i="56"/>
  <c r="K174" i="66" s="1"/>
  <c r="N174" i="66" s="1"/>
  <c r="Y174" i="66" s="1"/>
  <c r="K13" i="56"/>
  <c r="S174" i="66" s="1"/>
  <c r="V174" i="66" s="1"/>
  <c r="F13" i="56"/>
  <c r="O174" i="66" s="1"/>
  <c r="R174" i="66" s="1"/>
  <c r="Q13" i="55"/>
  <c r="K141" i="66" s="1"/>
  <c r="N141" i="66" s="1"/>
  <c r="Y141" i="66" s="1"/>
  <c r="K13" i="55"/>
  <c r="F13" i="55"/>
  <c r="G13" i="55" s="1"/>
  <c r="I13" i="55" s="1"/>
  <c r="H52" i="65" l="1"/>
  <c r="I51" i="65"/>
  <c r="H52" i="61"/>
  <c r="I51" i="61"/>
  <c r="H42" i="52"/>
  <c r="I41" i="52"/>
  <c r="H44" i="58"/>
  <c r="I42" i="58"/>
  <c r="H44" i="56"/>
  <c r="I42" i="56"/>
  <c r="H42" i="54"/>
  <c r="I41" i="54"/>
  <c r="H42" i="63"/>
  <c r="I41" i="63"/>
  <c r="I40" i="53"/>
  <c r="H41" i="53"/>
  <c r="H42" i="51"/>
  <c r="I41" i="51"/>
  <c r="H42" i="60"/>
  <c r="I41" i="60"/>
  <c r="H42" i="55"/>
  <c r="I41" i="55"/>
  <c r="H44" i="59"/>
  <c r="I42" i="59"/>
  <c r="R426" i="66"/>
  <c r="Q427" i="66"/>
  <c r="I428" i="66"/>
  <c r="Y427" i="66"/>
  <c r="M61" i="46"/>
  <c r="N60" i="46"/>
  <c r="I59" i="46"/>
  <c r="O59" i="46" s="1"/>
  <c r="H60" i="46"/>
  <c r="U559" i="66"/>
  <c r="V558" i="66"/>
  <c r="M559" i="66"/>
  <c r="N558" i="66"/>
  <c r="Y558" i="66" s="1"/>
  <c r="Q559" i="66"/>
  <c r="R558" i="66"/>
  <c r="M525" i="66"/>
  <c r="N524" i="66"/>
  <c r="Y524" i="66" s="1"/>
  <c r="V491" i="66"/>
  <c r="U492" i="66"/>
  <c r="N491" i="66"/>
  <c r="Y491" i="66" s="1"/>
  <c r="M492" i="66"/>
  <c r="Y392" i="66"/>
  <c r="I393" i="66"/>
  <c r="Y358" i="66"/>
  <c r="I359" i="66"/>
  <c r="R325" i="66"/>
  <c r="Q326" i="66"/>
  <c r="Y325" i="66"/>
  <c r="I326" i="66"/>
  <c r="Y292" i="66"/>
  <c r="I293" i="66"/>
  <c r="I261" i="66"/>
  <c r="Y260" i="66"/>
  <c r="Y191" i="66"/>
  <c r="I192" i="66"/>
  <c r="Y158" i="66"/>
  <c r="I159" i="66"/>
  <c r="Y125" i="66"/>
  <c r="I126" i="66"/>
  <c r="Y93" i="66"/>
  <c r="I94" i="66"/>
  <c r="Y224" i="66"/>
  <c r="I225" i="66"/>
  <c r="R589" i="66"/>
  <c r="Q590" i="66"/>
  <c r="R157" i="66"/>
  <c r="Q158" i="66"/>
  <c r="R623" i="66"/>
  <c r="Q624" i="66"/>
  <c r="R190" i="66"/>
  <c r="Q191" i="66"/>
  <c r="Q93" i="66"/>
  <c r="R92" i="66"/>
  <c r="Q125" i="66"/>
  <c r="R124" i="66"/>
  <c r="R425" i="66"/>
  <c r="R424" i="66"/>
  <c r="R356" i="66"/>
  <c r="Q357" i="66"/>
  <c r="R290" i="66"/>
  <c r="Q291" i="66"/>
  <c r="R389" i="66"/>
  <c r="Q390" i="66"/>
  <c r="R13" i="59"/>
  <c r="K275" i="66"/>
  <c r="N275" i="66" s="1"/>
  <c r="Y275" i="66" s="1"/>
  <c r="U655" i="66"/>
  <c r="U656" i="66" s="1"/>
  <c r="U657" i="66" s="1"/>
  <c r="M655" i="66"/>
  <c r="M656" i="66" s="1"/>
  <c r="M657" i="66" s="1"/>
  <c r="Q655" i="66"/>
  <c r="Q656" i="66" s="1"/>
  <c r="Q657" i="66" s="1"/>
  <c r="V585" i="66"/>
  <c r="U586" i="66"/>
  <c r="N585" i="66"/>
  <c r="Y585" i="66" s="1"/>
  <c r="M586" i="66"/>
  <c r="Q489" i="66"/>
  <c r="R423" i="66"/>
  <c r="R388" i="66"/>
  <c r="Q224" i="66"/>
  <c r="Q25" i="66"/>
  <c r="R24" i="66"/>
  <c r="O74" i="47"/>
  <c r="O308" i="66"/>
  <c r="R308" i="66" s="1"/>
  <c r="T109" i="47"/>
  <c r="T474" i="66"/>
  <c r="V474" i="66" s="1"/>
  <c r="J14" i="65"/>
  <c r="K14" i="65"/>
  <c r="S39" i="47"/>
  <c r="V39" i="47" s="1"/>
  <c r="S141" i="66"/>
  <c r="V141" i="66" s="1"/>
  <c r="O39" i="47"/>
  <c r="O141" i="66"/>
  <c r="R141" i="66" s="1"/>
  <c r="K60" i="47"/>
  <c r="N60" i="47" s="1"/>
  <c r="K242" i="66"/>
  <c r="N242" i="66" s="1"/>
  <c r="Y242" i="66" s="1"/>
  <c r="K67" i="47"/>
  <c r="N67" i="47" s="1"/>
  <c r="K81" i="47"/>
  <c r="N81" i="47" s="1"/>
  <c r="K341" i="66"/>
  <c r="N341" i="66" s="1"/>
  <c r="Y341" i="66" s="1"/>
  <c r="K88" i="47"/>
  <c r="N88" i="47" s="1"/>
  <c r="K375" i="66"/>
  <c r="N375" i="66" s="1"/>
  <c r="Y375" i="66" s="1"/>
  <c r="K95" i="47"/>
  <c r="N95" i="47" s="1"/>
  <c r="K408" i="66"/>
  <c r="N408" i="66" s="1"/>
  <c r="Y408" i="66" s="1"/>
  <c r="O81" i="47"/>
  <c r="O341" i="66"/>
  <c r="R341" i="66" s="1"/>
  <c r="H16" i="55"/>
  <c r="I16" i="55" s="1"/>
  <c r="I15" i="55"/>
  <c r="G13" i="58"/>
  <c r="O60" i="47"/>
  <c r="G13" i="63"/>
  <c r="O95" i="47"/>
  <c r="G13" i="64"/>
  <c r="O102" i="47"/>
  <c r="R13" i="55"/>
  <c r="K39" i="47"/>
  <c r="N39" i="47" s="1"/>
  <c r="G13" i="57"/>
  <c r="O53" i="47"/>
  <c r="L13" i="58"/>
  <c r="S60" i="47"/>
  <c r="V60" i="47" s="1"/>
  <c r="L13" i="59"/>
  <c r="S67" i="47"/>
  <c r="V67" i="47" s="1"/>
  <c r="L13" i="61"/>
  <c r="S81" i="47"/>
  <c r="V81" i="47" s="1"/>
  <c r="L13" i="63"/>
  <c r="S95" i="47"/>
  <c r="V95" i="47" s="1"/>
  <c r="L13" i="64"/>
  <c r="S102" i="47"/>
  <c r="G13" i="56"/>
  <c r="O46" i="47"/>
  <c r="L13" i="57"/>
  <c r="S53" i="47"/>
  <c r="V53" i="47" s="1"/>
  <c r="L13" i="60"/>
  <c r="S74" i="47"/>
  <c r="V74" i="47" s="1"/>
  <c r="R13" i="64"/>
  <c r="K102" i="47"/>
  <c r="L13" i="55"/>
  <c r="L13" i="56"/>
  <c r="S46" i="47"/>
  <c r="V46" i="47" s="1"/>
  <c r="R13" i="57"/>
  <c r="K53" i="47"/>
  <c r="R13" i="60"/>
  <c r="K74" i="47"/>
  <c r="N74" i="47" s="1"/>
  <c r="G13" i="65"/>
  <c r="O109" i="47"/>
  <c r="G13" i="59"/>
  <c r="O67" i="47"/>
  <c r="L13" i="65"/>
  <c r="S109" i="47"/>
  <c r="R13" i="56"/>
  <c r="K46" i="47"/>
  <c r="N46" i="47" s="1"/>
  <c r="G13" i="62"/>
  <c r="O88" i="47"/>
  <c r="L13" i="62"/>
  <c r="S88" i="47"/>
  <c r="V88" i="47" s="1"/>
  <c r="G13" i="61"/>
  <c r="H53" i="61" l="1"/>
  <c r="I52" i="61"/>
  <c r="H53" i="65"/>
  <c r="I52" i="65"/>
  <c r="H42" i="53"/>
  <c r="I41" i="53"/>
  <c r="H44" i="55"/>
  <c r="I42" i="55"/>
  <c r="H45" i="56"/>
  <c r="I44" i="56"/>
  <c r="H44" i="60"/>
  <c r="I42" i="60"/>
  <c r="H44" i="63"/>
  <c r="I42" i="63"/>
  <c r="H45" i="58"/>
  <c r="I44" i="58"/>
  <c r="H45" i="59"/>
  <c r="I44" i="59"/>
  <c r="H44" i="51"/>
  <c r="I42" i="51"/>
  <c r="H44" i="54"/>
  <c r="I42" i="54"/>
  <c r="H44" i="52"/>
  <c r="I42" i="52"/>
  <c r="N559" i="66"/>
  <c r="Y559" i="66" s="1"/>
  <c r="M560" i="66"/>
  <c r="V559" i="66"/>
  <c r="U560" i="66"/>
  <c r="R559" i="66"/>
  <c r="Q560" i="66"/>
  <c r="N525" i="66"/>
  <c r="Y525" i="66" s="1"/>
  <c r="M526" i="66"/>
  <c r="V492" i="66"/>
  <c r="U493" i="66"/>
  <c r="N492" i="66"/>
  <c r="Y492" i="66" s="1"/>
  <c r="M493" i="66"/>
  <c r="I429" i="66"/>
  <c r="Y428" i="66"/>
  <c r="Q428" i="66"/>
  <c r="R427" i="66"/>
  <c r="Y393" i="66"/>
  <c r="I394" i="66"/>
  <c r="Y326" i="66"/>
  <c r="I327" i="66"/>
  <c r="R326" i="66"/>
  <c r="Q327" i="66"/>
  <c r="Y261" i="66"/>
  <c r="I262" i="66"/>
  <c r="H61" i="46"/>
  <c r="I60" i="46"/>
  <c r="O60" i="46" s="1"/>
  <c r="M62" i="46"/>
  <c r="N61" i="46"/>
  <c r="M658" i="66"/>
  <c r="N657" i="66"/>
  <c r="Y657" i="66" s="1"/>
  <c r="R624" i="66"/>
  <c r="Q625" i="66"/>
  <c r="Q658" i="66"/>
  <c r="R657" i="66"/>
  <c r="U658" i="66"/>
  <c r="V657" i="66"/>
  <c r="R590" i="66"/>
  <c r="Q591" i="66"/>
  <c r="I360" i="66"/>
  <c r="Y359" i="66"/>
  <c r="I294" i="66"/>
  <c r="Y293" i="66"/>
  <c r="Y225" i="66"/>
  <c r="I226" i="66"/>
  <c r="R191" i="66"/>
  <c r="Q192" i="66"/>
  <c r="I193" i="66"/>
  <c r="Y192" i="66"/>
  <c r="R158" i="66"/>
  <c r="Q159" i="66"/>
  <c r="I160" i="66"/>
  <c r="Y159" i="66"/>
  <c r="I127" i="66"/>
  <c r="Y126" i="66"/>
  <c r="R125" i="66"/>
  <c r="Q126" i="66"/>
  <c r="I95" i="66"/>
  <c r="Y94" i="66"/>
  <c r="R93" i="66"/>
  <c r="Q94" i="66"/>
  <c r="R656" i="66"/>
  <c r="N656" i="66"/>
  <c r="Y656" i="66" s="1"/>
  <c r="V656" i="66"/>
  <c r="R357" i="66"/>
  <c r="Q358" i="66"/>
  <c r="R291" i="66"/>
  <c r="Q292" i="66"/>
  <c r="R224" i="66"/>
  <c r="Q225" i="66"/>
  <c r="R489" i="66"/>
  <c r="Q490" i="66"/>
  <c r="R390" i="66"/>
  <c r="Q391" i="66"/>
  <c r="U620" i="66"/>
  <c r="V620" i="66" s="1"/>
  <c r="U587" i="66"/>
  <c r="M620" i="66"/>
  <c r="N620" i="66" s="1"/>
  <c r="Y620" i="66" s="1"/>
  <c r="M587" i="66"/>
  <c r="N655" i="66"/>
  <c r="Y655" i="66" s="1"/>
  <c r="R655" i="66"/>
  <c r="V655" i="66"/>
  <c r="N586" i="66"/>
  <c r="Y586" i="66" s="1"/>
  <c r="V586" i="66"/>
  <c r="R25" i="66"/>
  <c r="S475" i="66"/>
  <c r="S110" i="47"/>
  <c r="T475" i="66"/>
  <c r="K15" i="65"/>
  <c r="T110" i="47"/>
  <c r="L14" i="65"/>
  <c r="P13" i="54"/>
  <c r="Q13" i="54"/>
  <c r="K13" i="54"/>
  <c r="S108" i="66" s="1"/>
  <c r="V108" i="66" s="1"/>
  <c r="F13" i="54"/>
  <c r="O108" i="66" s="1"/>
  <c r="R108" i="66" s="1"/>
  <c r="Q13" i="53"/>
  <c r="K76" i="66" s="1"/>
  <c r="N76" i="66" s="1"/>
  <c r="Y76" i="66" s="1"/>
  <c r="K13" i="53"/>
  <c r="S76" i="66" s="1"/>
  <c r="V76" i="66" s="1"/>
  <c r="F13" i="53"/>
  <c r="O76" i="66" s="1"/>
  <c r="R76" i="66" s="1"/>
  <c r="Q13" i="52"/>
  <c r="K43" i="66" s="1"/>
  <c r="N43" i="66" s="1"/>
  <c r="Y43" i="66" s="1"/>
  <c r="K13" i="52"/>
  <c r="S43" i="66" s="1"/>
  <c r="V43" i="66" s="1"/>
  <c r="F13" i="52"/>
  <c r="O43" i="66" s="1"/>
  <c r="R43" i="66" s="1"/>
  <c r="Q13" i="51"/>
  <c r="K11" i="66" s="1"/>
  <c r="N11" i="66" s="1"/>
  <c r="Y11" i="66" s="1"/>
  <c r="K13" i="51"/>
  <c r="S11" i="66" s="1"/>
  <c r="V11" i="66" s="1"/>
  <c r="F13" i="51"/>
  <c r="O11" i="66" s="1"/>
  <c r="R11" i="66" s="1"/>
  <c r="Q36" i="48"/>
  <c r="K36" i="48"/>
  <c r="L36" i="48" s="1"/>
  <c r="F36" i="48"/>
  <c r="O607" i="66" s="1"/>
  <c r="R607" i="66" s="1"/>
  <c r="H54" i="65" l="1"/>
  <c r="I53" i="65"/>
  <c r="I53" i="61"/>
  <c r="H54" i="61"/>
  <c r="H45" i="54"/>
  <c r="I44" i="54"/>
  <c r="H46" i="58"/>
  <c r="I45" i="58"/>
  <c r="H46" i="56"/>
  <c r="I45" i="56"/>
  <c r="H45" i="51"/>
  <c r="I44" i="51"/>
  <c r="H45" i="63"/>
  <c r="I44" i="63"/>
  <c r="H45" i="55"/>
  <c r="I44" i="55"/>
  <c r="H45" i="52"/>
  <c r="I44" i="52"/>
  <c r="I45" i="59"/>
  <c r="H46" i="59"/>
  <c r="I44" i="60"/>
  <c r="H45" i="60"/>
  <c r="H44" i="53"/>
  <c r="I42" i="53"/>
  <c r="N62" i="46"/>
  <c r="M63" i="46"/>
  <c r="R625" i="66"/>
  <c r="Q626" i="66"/>
  <c r="U561" i="66"/>
  <c r="V560" i="66"/>
  <c r="M561" i="66"/>
  <c r="N560" i="66"/>
  <c r="Y560" i="66" s="1"/>
  <c r="Q561" i="66"/>
  <c r="R560" i="66"/>
  <c r="M527" i="66"/>
  <c r="N526" i="66"/>
  <c r="Y526" i="66" s="1"/>
  <c r="N493" i="66"/>
  <c r="Y493" i="66" s="1"/>
  <c r="M494" i="66"/>
  <c r="U494" i="66"/>
  <c r="V493" i="66"/>
  <c r="Q429" i="66"/>
  <c r="R428" i="66"/>
  <c r="I430" i="66"/>
  <c r="Y429" i="66"/>
  <c r="I395" i="66"/>
  <c r="Y394" i="66"/>
  <c r="Y360" i="66"/>
  <c r="I361" i="66"/>
  <c r="Q328" i="66"/>
  <c r="R327" i="66"/>
  <c r="I328" i="66"/>
  <c r="Y327" i="66"/>
  <c r="Y294" i="66"/>
  <c r="I295" i="66"/>
  <c r="I263" i="66"/>
  <c r="Y262" i="66"/>
  <c r="Y193" i="66"/>
  <c r="I194" i="66"/>
  <c r="Y160" i="66"/>
  <c r="I161" i="66"/>
  <c r="Y127" i="66"/>
  <c r="I128" i="66"/>
  <c r="Y95" i="66"/>
  <c r="I96" i="66"/>
  <c r="H62" i="46"/>
  <c r="I61" i="46"/>
  <c r="O61" i="46" s="1"/>
  <c r="V658" i="66"/>
  <c r="U659" i="66"/>
  <c r="R658" i="66"/>
  <c r="Q659" i="66"/>
  <c r="N658" i="66"/>
  <c r="Y658" i="66" s="1"/>
  <c r="M659" i="66"/>
  <c r="Q592" i="66"/>
  <c r="R591" i="66"/>
  <c r="R358" i="66"/>
  <c r="Q359" i="66"/>
  <c r="R292" i="66"/>
  <c r="Q293" i="66"/>
  <c r="R225" i="66"/>
  <c r="Q226" i="66"/>
  <c r="I227" i="66"/>
  <c r="Y226" i="66"/>
  <c r="Q193" i="66"/>
  <c r="R192" i="66"/>
  <c r="Q160" i="66"/>
  <c r="R159" i="66"/>
  <c r="Q127" i="66"/>
  <c r="R126" i="66"/>
  <c r="Q95" i="66"/>
  <c r="R94" i="66"/>
  <c r="R490" i="66"/>
  <c r="Q491" i="66"/>
  <c r="R391" i="66"/>
  <c r="Q392" i="66"/>
  <c r="M621" i="66"/>
  <c r="N621" i="66" s="1"/>
  <c r="Y621" i="66" s="1"/>
  <c r="N587" i="66"/>
  <c r="Y587" i="66" s="1"/>
  <c r="U621" i="66"/>
  <c r="V621" i="66" s="1"/>
  <c r="V587" i="66"/>
  <c r="U588" i="66"/>
  <c r="U622" i="66" s="1"/>
  <c r="V622" i="66" s="1"/>
  <c r="M588" i="66"/>
  <c r="M622" i="66" s="1"/>
  <c r="N622" i="66" s="1"/>
  <c r="Y622" i="66" s="1"/>
  <c r="L15" i="65"/>
  <c r="S476" i="66"/>
  <c r="V476" i="66" s="1"/>
  <c r="V475" i="66"/>
  <c r="S137" i="47"/>
  <c r="S607" i="66"/>
  <c r="V607" i="66" s="1"/>
  <c r="K32" i="47"/>
  <c r="K108" i="66"/>
  <c r="L32" i="47"/>
  <c r="L108" i="66"/>
  <c r="Q14" i="54"/>
  <c r="K137" i="47"/>
  <c r="K607" i="66"/>
  <c r="N607" i="66" s="1"/>
  <c r="Y607" i="66" s="1"/>
  <c r="R13" i="54"/>
  <c r="G13" i="52"/>
  <c r="O18" i="47"/>
  <c r="L13" i="53"/>
  <c r="S25" i="47"/>
  <c r="V25" i="47" s="1"/>
  <c r="G13" i="51"/>
  <c r="O11" i="47"/>
  <c r="L13" i="52"/>
  <c r="S18" i="47"/>
  <c r="V18" i="47" s="1"/>
  <c r="R13" i="53"/>
  <c r="K25" i="47"/>
  <c r="N25" i="47" s="1"/>
  <c r="G36" i="48"/>
  <c r="O137" i="47"/>
  <c r="L13" i="51"/>
  <c r="S11" i="47"/>
  <c r="V11" i="47" s="1"/>
  <c r="R13" i="52"/>
  <c r="K18" i="47"/>
  <c r="N18" i="47" s="1"/>
  <c r="G13" i="54"/>
  <c r="O32" i="47"/>
  <c r="R36" i="48"/>
  <c r="R13" i="51"/>
  <c r="K11" i="47"/>
  <c r="N11" i="47" s="1"/>
  <c r="G13" i="53"/>
  <c r="O25" i="47"/>
  <c r="L13" i="54"/>
  <c r="S32" i="47"/>
  <c r="V32" i="47" s="1"/>
  <c r="Q42" i="46"/>
  <c r="R42" i="46" s="1"/>
  <c r="Q32" i="49"/>
  <c r="K32" i="49"/>
  <c r="F32" i="49"/>
  <c r="G32" i="49" s="1"/>
  <c r="I54" i="61" l="1"/>
  <c r="H55" i="61"/>
  <c r="I54" i="65"/>
  <c r="H55" i="65"/>
  <c r="H46" i="63"/>
  <c r="I45" i="63"/>
  <c r="H47" i="58"/>
  <c r="I46" i="58"/>
  <c r="H45" i="53"/>
  <c r="I44" i="53"/>
  <c r="I45" i="52"/>
  <c r="H46" i="52"/>
  <c r="H46" i="60"/>
  <c r="I45" i="60"/>
  <c r="H46" i="51"/>
  <c r="I45" i="51"/>
  <c r="H46" i="54"/>
  <c r="I45" i="54"/>
  <c r="I46" i="59"/>
  <c r="H47" i="59"/>
  <c r="H46" i="55"/>
  <c r="I45" i="55"/>
  <c r="H47" i="56"/>
  <c r="I46" i="56"/>
  <c r="I62" i="46"/>
  <c r="O62" i="46" s="1"/>
  <c r="H63" i="46"/>
  <c r="M64" i="46"/>
  <c r="N63" i="46"/>
  <c r="N659" i="66"/>
  <c r="Y659" i="66" s="1"/>
  <c r="M660" i="66"/>
  <c r="R659" i="66"/>
  <c r="Q660" i="66"/>
  <c r="V659" i="66"/>
  <c r="U660" i="66"/>
  <c r="Q627" i="66"/>
  <c r="R626" i="66"/>
  <c r="R592" i="66"/>
  <c r="Q593" i="66"/>
  <c r="Q562" i="66"/>
  <c r="R561" i="66"/>
  <c r="M562" i="66"/>
  <c r="N561" i="66"/>
  <c r="Y561" i="66" s="1"/>
  <c r="U562" i="66"/>
  <c r="V561" i="66"/>
  <c r="M528" i="66"/>
  <c r="N527" i="66"/>
  <c r="Y527" i="66" s="1"/>
  <c r="U495" i="66"/>
  <c r="V494" i="66"/>
  <c r="M495" i="66"/>
  <c r="N494" i="66"/>
  <c r="Y494" i="66" s="1"/>
  <c r="I431" i="66"/>
  <c r="I432" i="66" s="1"/>
  <c r="Y430" i="66"/>
  <c r="Q430" i="66"/>
  <c r="R429" i="66"/>
  <c r="I396" i="66"/>
  <c r="Y395" i="66"/>
  <c r="I362" i="66"/>
  <c r="Y361" i="66"/>
  <c r="I329" i="66"/>
  <c r="Y328" i="66"/>
  <c r="Q329" i="66"/>
  <c r="R328" i="66"/>
  <c r="I296" i="66"/>
  <c r="Y295" i="66"/>
  <c r="I264" i="66"/>
  <c r="Y263" i="66"/>
  <c r="Y227" i="66"/>
  <c r="I228" i="66"/>
  <c r="R193" i="66"/>
  <c r="Q194" i="66"/>
  <c r="I195" i="66"/>
  <c r="Y194" i="66"/>
  <c r="R160" i="66"/>
  <c r="Q161" i="66"/>
  <c r="I162" i="66"/>
  <c r="Y161" i="66"/>
  <c r="R127" i="66"/>
  <c r="Q128" i="66"/>
  <c r="I129" i="66"/>
  <c r="Y128" i="66"/>
  <c r="R95" i="66"/>
  <c r="Q96" i="66"/>
  <c r="I97" i="66"/>
  <c r="Y96" i="66"/>
  <c r="R491" i="66"/>
  <c r="Q492" i="66"/>
  <c r="R392" i="66"/>
  <c r="Q393" i="66"/>
  <c r="Q360" i="66"/>
  <c r="R359" i="66"/>
  <c r="Q294" i="66"/>
  <c r="R293" i="66"/>
  <c r="Q227" i="66"/>
  <c r="R226" i="66"/>
  <c r="M589" i="66"/>
  <c r="M590" i="66" s="1"/>
  <c r="M591" i="66" s="1"/>
  <c r="M625" i="66" s="1"/>
  <c r="N625" i="66" s="1"/>
  <c r="Y625" i="66" s="1"/>
  <c r="N588" i="66"/>
  <c r="Y588" i="66" s="1"/>
  <c r="U589" i="66"/>
  <c r="U590" i="66" s="1"/>
  <c r="U591" i="66" s="1"/>
  <c r="U625" i="66" s="1"/>
  <c r="V625" i="66" s="1"/>
  <c r="V588" i="66"/>
  <c r="N32" i="47"/>
  <c r="N108" i="66"/>
  <c r="Y108" i="66" s="1"/>
  <c r="K640" i="66"/>
  <c r="N640" i="66" s="1"/>
  <c r="Y640" i="66" s="1"/>
  <c r="K145" i="47"/>
  <c r="O640" i="66"/>
  <c r="R640" i="66" s="1"/>
  <c r="O145" i="47"/>
  <c r="R14" i="54"/>
  <c r="K109" i="66"/>
  <c r="N109" i="66" s="1"/>
  <c r="Y109" i="66" s="1"/>
  <c r="K33" i="47"/>
  <c r="N33" i="47" s="1"/>
  <c r="K116" i="47"/>
  <c r="N116" i="47" s="1"/>
  <c r="K506" i="66"/>
  <c r="N506" i="66" s="1"/>
  <c r="Y506" i="66" s="1"/>
  <c r="L32" i="49"/>
  <c r="S640" i="66"/>
  <c r="V640" i="66" s="1"/>
  <c r="S145" i="47"/>
  <c r="R32" i="49"/>
  <c r="Q36" i="44"/>
  <c r="K36" i="44"/>
  <c r="F36" i="44"/>
  <c r="G36" i="44" s="1"/>
  <c r="H57" i="61" l="1"/>
  <c r="I55" i="61"/>
  <c r="H57" i="65"/>
  <c r="I55" i="65"/>
  <c r="I46" i="60"/>
  <c r="H47" i="60"/>
  <c r="H48" i="56"/>
  <c r="I47" i="56"/>
  <c r="H48" i="58"/>
  <c r="I47" i="58"/>
  <c r="H47" i="54"/>
  <c r="I46" i="54"/>
  <c r="H47" i="52"/>
  <c r="I46" i="52"/>
  <c r="I46" i="55"/>
  <c r="H47" i="55"/>
  <c r="H47" i="63"/>
  <c r="I46" i="63"/>
  <c r="I47" i="59"/>
  <c r="H48" i="59"/>
  <c r="H47" i="51"/>
  <c r="I46" i="51"/>
  <c r="H46" i="53"/>
  <c r="I45" i="53"/>
  <c r="M65" i="46"/>
  <c r="N64" i="46"/>
  <c r="H64" i="46"/>
  <c r="I63" i="46"/>
  <c r="O63" i="46" s="1"/>
  <c r="U661" i="66"/>
  <c r="V660" i="66"/>
  <c r="M661" i="66"/>
  <c r="N660" i="66"/>
  <c r="Y660" i="66" s="1"/>
  <c r="Q661" i="66"/>
  <c r="R660" i="66"/>
  <c r="Q628" i="66"/>
  <c r="R627" i="66"/>
  <c r="Q594" i="66"/>
  <c r="R593" i="66"/>
  <c r="U563" i="66"/>
  <c r="U564" i="66" s="1"/>
  <c r="V564" i="66" s="1"/>
  <c r="V562" i="66"/>
  <c r="M563" i="66"/>
  <c r="M564" i="66" s="1"/>
  <c r="N564" i="66" s="1"/>
  <c r="N562" i="66"/>
  <c r="Y562" i="66" s="1"/>
  <c r="Q563" i="66"/>
  <c r="Q564" i="66" s="1"/>
  <c r="R564" i="66" s="1"/>
  <c r="R562" i="66"/>
  <c r="M529" i="66"/>
  <c r="M530" i="66" s="1"/>
  <c r="N530" i="66" s="1"/>
  <c r="N528" i="66"/>
  <c r="Y528" i="66" s="1"/>
  <c r="R492" i="66"/>
  <c r="Q493" i="66"/>
  <c r="M496" i="66"/>
  <c r="N495" i="66"/>
  <c r="Y495" i="66" s="1"/>
  <c r="U496" i="66"/>
  <c r="V495" i="66"/>
  <c r="Q431" i="66"/>
  <c r="Q432" i="66" s="1"/>
  <c r="R432" i="66" s="1"/>
  <c r="R430" i="66"/>
  <c r="Y431" i="66"/>
  <c r="R393" i="66"/>
  <c r="Q394" i="66"/>
  <c r="I397" i="66"/>
  <c r="Y396" i="66"/>
  <c r="R360" i="66"/>
  <c r="Q361" i="66"/>
  <c r="I363" i="66"/>
  <c r="Y362" i="66"/>
  <c r="Q330" i="66"/>
  <c r="R329" i="66"/>
  <c r="I330" i="66"/>
  <c r="Y329" i="66"/>
  <c r="R294" i="66"/>
  <c r="Q295" i="66"/>
  <c r="I297" i="66"/>
  <c r="Y296" i="66"/>
  <c r="I265" i="66"/>
  <c r="I266" i="66" s="1"/>
  <c r="Y264" i="66"/>
  <c r="R227" i="66"/>
  <c r="Q228" i="66"/>
  <c r="I229" i="66"/>
  <c r="Y228" i="66"/>
  <c r="I196" i="66"/>
  <c r="Y195" i="66"/>
  <c r="Q195" i="66"/>
  <c r="R194" i="66"/>
  <c r="I163" i="66"/>
  <c r="Y162" i="66"/>
  <c r="Q162" i="66"/>
  <c r="R161" i="66"/>
  <c r="I130" i="66"/>
  <c r="Y129" i="66"/>
  <c r="R128" i="66"/>
  <c r="Q129" i="66"/>
  <c r="I98" i="66"/>
  <c r="Y97" i="66"/>
  <c r="Q97" i="66"/>
  <c r="R96" i="66"/>
  <c r="U592" i="66"/>
  <c r="U626" i="66" s="1"/>
  <c r="V626" i="66" s="1"/>
  <c r="V591" i="66"/>
  <c r="M592" i="66"/>
  <c r="M626" i="66" s="1"/>
  <c r="N626" i="66" s="1"/>
  <c r="Y626" i="66" s="1"/>
  <c r="N591" i="66"/>
  <c r="Y591" i="66" s="1"/>
  <c r="U624" i="66"/>
  <c r="V624" i="66" s="1"/>
  <c r="V590" i="66"/>
  <c r="M624" i="66"/>
  <c r="N624" i="66" s="1"/>
  <c r="Y624" i="66" s="1"/>
  <c r="N590" i="66"/>
  <c r="Y590" i="66" s="1"/>
  <c r="N589" i="66"/>
  <c r="Y589" i="66" s="1"/>
  <c r="M623" i="66"/>
  <c r="N623" i="66" s="1"/>
  <c r="Y623" i="66" s="1"/>
  <c r="V589" i="66"/>
  <c r="U623" i="66"/>
  <c r="V623" i="66" s="1"/>
  <c r="S123" i="47"/>
  <c r="S540" i="66"/>
  <c r="V540" i="66" s="1"/>
  <c r="K123" i="47"/>
  <c r="K540" i="66"/>
  <c r="N540" i="66" s="1"/>
  <c r="Y540" i="66" s="1"/>
  <c r="R36" i="44"/>
  <c r="O123" i="47"/>
  <c r="O540" i="66"/>
  <c r="R540" i="66" s="1"/>
  <c r="L36" i="44"/>
  <c r="L17" i="47"/>
  <c r="M17" i="47"/>
  <c r="P17" i="47"/>
  <c r="T17" i="47"/>
  <c r="U17" i="47"/>
  <c r="Q31" i="49"/>
  <c r="K639" i="66" s="1"/>
  <c r="N639" i="66" s="1"/>
  <c r="Y639" i="66" s="1"/>
  <c r="K31" i="49"/>
  <c r="S639" i="66" s="1"/>
  <c r="V639" i="66" s="1"/>
  <c r="F31" i="49"/>
  <c r="G31" i="49" s="1"/>
  <c r="H58" i="61" l="1"/>
  <c r="H61" i="61" s="1"/>
  <c r="I57" i="61"/>
  <c r="H58" i="65"/>
  <c r="H61" i="65" s="1"/>
  <c r="I57" i="65"/>
  <c r="H48" i="63"/>
  <c r="I47" i="63"/>
  <c r="H48" i="54"/>
  <c r="I47" i="54"/>
  <c r="I48" i="56"/>
  <c r="H49" i="56"/>
  <c r="H48" i="55"/>
  <c r="I47" i="55"/>
  <c r="I47" i="51"/>
  <c r="H48" i="51"/>
  <c r="H48" i="60"/>
  <c r="I47" i="60"/>
  <c r="I48" i="59"/>
  <c r="H49" i="59"/>
  <c r="H49" i="58"/>
  <c r="I48" i="58"/>
  <c r="I46" i="53"/>
  <c r="H47" i="53"/>
  <c r="H48" i="52"/>
  <c r="I47" i="52"/>
  <c r="H65" i="46"/>
  <c r="I64" i="46"/>
  <c r="O64" i="46" s="1"/>
  <c r="M66" i="46"/>
  <c r="N65" i="46"/>
  <c r="Q662" i="66"/>
  <c r="R661" i="66"/>
  <c r="M662" i="66"/>
  <c r="N661" i="66"/>
  <c r="Y661" i="66" s="1"/>
  <c r="U662" i="66"/>
  <c r="V661" i="66"/>
  <c r="Q629" i="66"/>
  <c r="R628" i="66"/>
  <c r="V592" i="66"/>
  <c r="U593" i="66"/>
  <c r="U627" i="66" s="1"/>
  <c r="V627" i="66" s="1"/>
  <c r="N592" i="66"/>
  <c r="Y592" i="66" s="1"/>
  <c r="M593" i="66"/>
  <c r="M627" i="66" s="1"/>
  <c r="N627" i="66" s="1"/>
  <c r="Y627" i="66" s="1"/>
  <c r="Q595" i="66"/>
  <c r="R594" i="66"/>
  <c r="R563" i="66"/>
  <c r="N563" i="66"/>
  <c r="Y563" i="66" s="1"/>
  <c r="V563" i="66"/>
  <c r="N529" i="66"/>
  <c r="Y529" i="66" s="1"/>
  <c r="U497" i="66"/>
  <c r="U498" i="66" s="1"/>
  <c r="V498" i="66" s="1"/>
  <c r="V496" i="66"/>
  <c r="N496" i="66"/>
  <c r="Y496" i="66" s="1"/>
  <c r="M497" i="66"/>
  <c r="M498" i="66" s="1"/>
  <c r="N498" i="66" s="1"/>
  <c r="Q494" i="66"/>
  <c r="R493" i="66"/>
  <c r="I433" i="66"/>
  <c r="Y433" i="66" s="1"/>
  <c r="Y432" i="66"/>
  <c r="R431" i="66"/>
  <c r="I398" i="66"/>
  <c r="I399" i="66" s="1"/>
  <c r="Y397" i="66"/>
  <c r="Q395" i="66"/>
  <c r="R394" i="66"/>
  <c r="I364" i="66"/>
  <c r="I365" i="66" s="1"/>
  <c r="Y363" i="66"/>
  <c r="Q362" i="66"/>
  <c r="R361" i="66"/>
  <c r="I331" i="66"/>
  <c r="I332" i="66" s="1"/>
  <c r="Y330" i="66"/>
  <c r="Q331" i="66"/>
  <c r="Q332" i="66" s="1"/>
  <c r="R332" i="66" s="1"/>
  <c r="R330" i="66"/>
  <c r="I298" i="66"/>
  <c r="I299" i="66" s="1"/>
  <c r="Y297" i="66"/>
  <c r="Q296" i="66"/>
  <c r="R295" i="66"/>
  <c r="Y265" i="66"/>
  <c r="Y229" i="66"/>
  <c r="I230" i="66"/>
  <c r="I231" i="66" s="1"/>
  <c r="Q229" i="66"/>
  <c r="R228" i="66"/>
  <c r="Q196" i="66"/>
  <c r="R195" i="66"/>
  <c r="I197" i="66"/>
  <c r="I198" i="66" s="1"/>
  <c r="Y196" i="66"/>
  <c r="Q163" i="66"/>
  <c r="R162" i="66"/>
  <c r="I164" i="66"/>
  <c r="I165" i="66" s="1"/>
  <c r="Y163" i="66"/>
  <c r="R129" i="66"/>
  <c r="Q130" i="66"/>
  <c r="I131" i="66"/>
  <c r="I132" i="66" s="1"/>
  <c r="Y130" i="66"/>
  <c r="Q98" i="66"/>
  <c r="R97" i="66"/>
  <c r="I99" i="66"/>
  <c r="I100" i="66" s="1"/>
  <c r="Y98" i="66"/>
  <c r="O144" i="47"/>
  <c r="O639" i="66"/>
  <c r="R639" i="66" s="1"/>
  <c r="L31" i="49"/>
  <c r="S144" i="47"/>
  <c r="R31" i="49"/>
  <c r="K144" i="47"/>
  <c r="P12" i="65"/>
  <c r="L473" i="66" s="1"/>
  <c r="F12" i="65"/>
  <c r="K12" i="65"/>
  <c r="Q12" i="65"/>
  <c r="K473" i="66" s="1"/>
  <c r="K12" i="64"/>
  <c r="S440" i="66" s="1"/>
  <c r="V440" i="66" s="1"/>
  <c r="F12" i="64"/>
  <c r="O440" i="66" s="1"/>
  <c r="R440" i="66" s="1"/>
  <c r="Q12" i="64"/>
  <c r="K440" i="66" s="1"/>
  <c r="N440" i="66" s="1"/>
  <c r="Y440" i="66" s="1"/>
  <c r="Q12" i="63"/>
  <c r="K407" i="66" s="1"/>
  <c r="N407" i="66" s="1"/>
  <c r="Y407" i="66" s="1"/>
  <c r="K12" i="63"/>
  <c r="F12" i="63"/>
  <c r="Q12" i="62"/>
  <c r="K12" i="62"/>
  <c r="S374" i="66" s="1"/>
  <c r="V374" i="66" s="1"/>
  <c r="F12" i="62"/>
  <c r="O374" i="66" s="1"/>
  <c r="R374" i="66" s="1"/>
  <c r="K12" i="61"/>
  <c r="F12" i="61"/>
  <c r="Q12" i="61"/>
  <c r="K340" i="66" s="1"/>
  <c r="N340" i="66" s="1"/>
  <c r="Y340" i="66" s="1"/>
  <c r="Q12" i="60"/>
  <c r="K12" i="60"/>
  <c r="F12" i="60"/>
  <c r="Q12" i="59"/>
  <c r="K274" i="66" s="1"/>
  <c r="N274" i="66" s="1"/>
  <c r="Y274" i="66" s="1"/>
  <c r="K12" i="59"/>
  <c r="S274" i="66" s="1"/>
  <c r="V274" i="66" s="1"/>
  <c r="F12" i="59"/>
  <c r="O274" i="66" s="1"/>
  <c r="R274" i="66" s="1"/>
  <c r="K12" i="58"/>
  <c r="Q12" i="57"/>
  <c r="K12" i="57"/>
  <c r="S206" i="66" s="1"/>
  <c r="V206" i="66" s="1"/>
  <c r="F12" i="57"/>
  <c r="O206" i="66" s="1"/>
  <c r="R206" i="66" s="1"/>
  <c r="Q12" i="56"/>
  <c r="K173" i="66" s="1"/>
  <c r="N173" i="66" s="1"/>
  <c r="Y173" i="66" s="1"/>
  <c r="K12" i="56"/>
  <c r="F12" i="56"/>
  <c r="Q12" i="55"/>
  <c r="K140" i="66" s="1"/>
  <c r="N140" i="66" s="1"/>
  <c r="Y140" i="66" s="1"/>
  <c r="K12" i="55"/>
  <c r="F12" i="55"/>
  <c r="Q12" i="54"/>
  <c r="K12" i="54"/>
  <c r="F12" i="54"/>
  <c r="Q12" i="53"/>
  <c r="K75" i="66" s="1"/>
  <c r="N75" i="66" s="1"/>
  <c r="Y75" i="66" s="1"/>
  <c r="K12" i="53"/>
  <c r="F12" i="53"/>
  <c r="O75" i="66" s="1"/>
  <c r="R75" i="66" s="1"/>
  <c r="Q12" i="52"/>
  <c r="K12" i="52"/>
  <c r="F12" i="52"/>
  <c r="Q12" i="51"/>
  <c r="K12" i="51"/>
  <c r="F12" i="51"/>
  <c r="K35" i="48"/>
  <c r="S606" i="66" s="1"/>
  <c r="V606" i="66" s="1"/>
  <c r="F35" i="48"/>
  <c r="O606" i="66" s="1"/>
  <c r="R606" i="66" s="1"/>
  <c r="Q35" i="48"/>
  <c r="Q35" i="44"/>
  <c r="K539" i="66" s="1"/>
  <c r="N539" i="66" s="1"/>
  <c r="Y539" i="66" s="1"/>
  <c r="K35" i="44"/>
  <c r="F35" i="44"/>
  <c r="O539" i="66" s="1"/>
  <c r="R539" i="66" s="1"/>
  <c r="K35" i="45"/>
  <c r="F35" i="45"/>
  <c r="Q35" i="45"/>
  <c r="K572" i="66" s="1"/>
  <c r="N572" i="66" s="1"/>
  <c r="Y572" i="66" s="1"/>
  <c r="I61" i="65" l="1"/>
  <c r="H67" i="65"/>
  <c r="I67" i="65" s="1"/>
  <c r="I61" i="61"/>
  <c r="H67" i="61"/>
  <c r="I67" i="61" s="1"/>
  <c r="H60" i="61"/>
  <c r="H66" i="61" s="1"/>
  <c r="I66" i="61" s="1"/>
  <c r="H59" i="61"/>
  <c r="I58" i="61"/>
  <c r="H60" i="65"/>
  <c r="H66" i="65" s="1"/>
  <c r="I66" i="65" s="1"/>
  <c r="H59" i="65"/>
  <c r="I58" i="65"/>
  <c r="I48" i="54"/>
  <c r="H49" i="54"/>
  <c r="I48" i="60"/>
  <c r="H49" i="60"/>
  <c r="I48" i="55"/>
  <c r="H49" i="55"/>
  <c r="I48" i="52"/>
  <c r="H49" i="52"/>
  <c r="H50" i="58"/>
  <c r="I49" i="58"/>
  <c r="H49" i="63"/>
  <c r="I48" i="63"/>
  <c r="N66" i="46"/>
  <c r="M67" i="46"/>
  <c r="H50" i="56"/>
  <c r="I49" i="56"/>
  <c r="I47" i="53"/>
  <c r="H48" i="53"/>
  <c r="H50" i="59"/>
  <c r="I49" i="59"/>
  <c r="I48" i="51"/>
  <c r="H49" i="51"/>
  <c r="H66" i="46"/>
  <c r="I65" i="46"/>
  <c r="O65" i="46" s="1"/>
  <c r="U663" i="66"/>
  <c r="U664" i="66" s="1"/>
  <c r="V664" i="66" s="1"/>
  <c r="V662" i="66"/>
  <c r="N662" i="66"/>
  <c r="Y662" i="66" s="1"/>
  <c r="M663" i="66"/>
  <c r="M664" i="66" s="1"/>
  <c r="N664" i="66" s="1"/>
  <c r="Q663" i="66"/>
  <c r="Q664" i="66" s="1"/>
  <c r="R664" i="66" s="1"/>
  <c r="R662" i="66"/>
  <c r="Q630" i="66"/>
  <c r="Q631" i="66" s="1"/>
  <c r="R631" i="66" s="1"/>
  <c r="R629" i="66"/>
  <c r="Q596" i="66"/>
  <c r="Q597" i="66" s="1"/>
  <c r="R597" i="66" s="1"/>
  <c r="R595" i="66"/>
  <c r="M594" i="66"/>
  <c r="M628" i="66" s="1"/>
  <c r="N628" i="66" s="1"/>
  <c r="Y628" i="66" s="1"/>
  <c r="N593" i="66"/>
  <c r="Y593" i="66" s="1"/>
  <c r="U594" i="66"/>
  <c r="U628" i="66" s="1"/>
  <c r="V628" i="66" s="1"/>
  <c r="V593" i="66"/>
  <c r="U565" i="66"/>
  <c r="M565" i="66"/>
  <c r="Y564" i="66"/>
  <c r="Q565" i="66"/>
  <c r="Y530" i="66"/>
  <c r="M531" i="66"/>
  <c r="Q495" i="66"/>
  <c r="R494" i="66"/>
  <c r="Y498" i="66"/>
  <c r="N497" i="66"/>
  <c r="Y497" i="66" s="1"/>
  <c r="V497" i="66"/>
  <c r="Q433" i="66"/>
  <c r="R433" i="66" s="1"/>
  <c r="Q396" i="66"/>
  <c r="R395" i="66"/>
  <c r="Y398" i="66"/>
  <c r="Q363" i="66"/>
  <c r="R362" i="66"/>
  <c r="Y364" i="66"/>
  <c r="R331" i="66"/>
  <c r="Y331" i="66"/>
  <c r="R296" i="66"/>
  <c r="Q297" i="66"/>
  <c r="Y298" i="66"/>
  <c r="I267" i="66"/>
  <c r="Y266" i="66"/>
  <c r="Q230" i="66"/>
  <c r="Q231" i="66" s="1"/>
  <c r="R231" i="66" s="1"/>
  <c r="R229" i="66"/>
  <c r="Y230" i="66"/>
  <c r="Y197" i="66"/>
  <c r="Q197" i="66"/>
  <c r="Q198" i="66" s="1"/>
  <c r="R198" i="66" s="1"/>
  <c r="R196" i="66"/>
  <c r="Y164" i="66"/>
  <c r="Q164" i="66"/>
  <c r="Q165" i="66" s="1"/>
  <c r="R165" i="66" s="1"/>
  <c r="R163" i="66"/>
  <c r="Y131" i="66"/>
  <c r="R130" i="66"/>
  <c r="Q131" i="66"/>
  <c r="Q132" i="66" s="1"/>
  <c r="R132" i="66" s="1"/>
  <c r="Y99" i="66"/>
  <c r="R98" i="66"/>
  <c r="Q99" i="66"/>
  <c r="Q100" i="66" s="1"/>
  <c r="R100" i="66" s="1"/>
  <c r="R35" i="45"/>
  <c r="G35" i="44"/>
  <c r="R12" i="63"/>
  <c r="L12" i="57"/>
  <c r="R12" i="59"/>
  <c r="L35" i="48"/>
  <c r="R12" i="55"/>
  <c r="R12" i="56"/>
  <c r="G12" i="53"/>
  <c r="N473" i="66"/>
  <c r="Y473" i="66" s="1"/>
  <c r="G35" i="45"/>
  <c r="O572" i="66"/>
  <c r="R572" i="66" s="1"/>
  <c r="L35" i="44"/>
  <c r="S539" i="66"/>
  <c r="V539" i="66" s="1"/>
  <c r="G12" i="51"/>
  <c r="O10" i="66"/>
  <c r="R10" i="66" s="1"/>
  <c r="S17" i="47"/>
  <c r="V17" i="47" s="1"/>
  <c r="S42" i="66"/>
  <c r="V42" i="66" s="1"/>
  <c r="L12" i="54"/>
  <c r="S107" i="66"/>
  <c r="V107" i="66" s="1"/>
  <c r="L35" i="45"/>
  <c r="S572" i="66"/>
  <c r="V572" i="66" s="1"/>
  <c r="R35" i="44"/>
  <c r="G35" i="48"/>
  <c r="L12" i="51"/>
  <c r="S10" i="66"/>
  <c r="V10" i="66" s="1"/>
  <c r="K17" i="47"/>
  <c r="N17" i="47" s="1"/>
  <c r="K42" i="66"/>
  <c r="N42" i="66" s="1"/>
  <c r="Y42" i="66" s="1"/>
  <c r="R12" i="53"/>
  <c r="R12" i="54"/>
  <c r="K107" i="66"/>
  <c r="N107" i="66" s="1"/>
  <c r="Y107" i="66" s="1"/>
  <c r="L12" i="59"/>
  <c r="L12" i="60"/>
  <c r="S307" i="66"/>
  <c r="V307" i="66" s="1"/>
  <c r="G12" i="61"/>
  <c r="O340" i="66"/>
  <c r="R340" i="66" s="1"/>
  <c r="L12" i="62"/>
  <c r="L12" i="63"/>
  <c r="S407" i="66"/>
  <c r="V407" i="66" s="1"/>
  <c r="G12" i="64"/>
  <c r="G12" i="65"/>
  <c r="O473" i="66"/>
  <c r="R473" i="66" s="1"/>
  <c r="R12" i="51"/>
  <c r="K10" i="66"/>
  <c r="N10" i="66" s="1"/>
  <c r="Y10" i="66" s="1"/>
  <c r="G12" i="55"/>
  <c r="I12" i="55" s="1"/>
  <c r="O140" i="66"/>
  <c r="R140" i="66" s="1"/>
  <c r="G12" i="56"/>
  <c r="O173" i="66"/>
  <c r="R173" i="66" s="1"/>
  <c r="G12" i="57"/>
  <c r="R12" i="57"/>
  <c r="K206" i="66"/>
  <c r="R12" i="60"/>
  <c r="K307" i="66"/>
  <c r="N307" i="66" s="1"/>
  <c r="Y307" i="66" s="1"/>
  <c r="L12" i="61"/>
  <c r="S340" i="66"/>
  <c r="V340" i="66" s="1"/>
  <c r="L12" i="64"/>
  <c r="R35" i="48"/>
  <c r="K606" i="66"/>
  <c r="N606" i="66" s="1"/>
  <c r="Y606" i="66" s="1"/>
  <c r="O17" i="47"/>
  <c r="O42" i="66"/>
  <c r="R42" i="66" s="1"/>
  <c r="G12" i="54"/>
  <c r="O107" i="66"/>
  <c r="R107" i="66" s="1"/>
  <c r="L12" i="55"/>
  <c r="S140" i="66"/>
  <c r="V140" i="66" s="1"/>
  <c r="L12" i="56"/>
  <c r="S173" i="66"/>
  <c r="V173" i="66" s="1"/>
  <c r="L12" i="58"/>
  <c r="S241" i="66"/>
  <c r="V241" i="66" s="1"/>
  <c r="R12" i="61"/>
  <c r="G12" i="62"/>
  <c r="R12" i="62"/>
  <c r="K374" i="66"/>
  <c r="N374" i="66" s="1"/>
  <c r="Y374" i="66" s="1"/>
  <c r="L12" i="53"/>
  <c r="S75" i="66"/>
  <c r="V75" i="66" s="1"/>
  <c r="G12" i="59"/>
  <c r="G12" i="60"/>
  <c r="O307" i="66"/>
  <c r="R307" i="66" s="1"/>
  <c r="G12" i="63"/>
  <c r="O407" i="66"/>
  <c r="R407" i="66" s="1"/>
  <c r="R12" i="64"/>
  <c r="L12" i="65"/>
  <c r="S473" i="66"/>
  <c r="V473" i="66" s="1"/>
  <c r="R12" i="52"/>
  <c r="R12" i="65"/>
  <c r="Q13" i="65"/>
  <c r="P13" i="65"/>
  <c r="G12" i="52"/>
  <c r="L12" i="52"/>
  <c r="Q41" i="46"/>
  <c r="K505" i="66" s="1"/>
  <c r="N505" i="66" s="1"/>
  <c r="Y505" i="66" s="1"/>
  <c r="H63" i="65" l="1"/>
  <c r="I63" i="65" s="1"/>
  <c r="H64" i="65"/>
  <c r="I64" i="65" s="1"/>
  <c r="H63" i="61"/>
  <c r="I63" i="61" s="1"/>
  <c r="H64" i="61"/>
  <c r="I64" i="61" s="1"/>
  <c r="I60" i="65"/>
  <c r="H65" i="65"/>
  <c r="I65" i="65" s="1"/>
  <c r="I68" i="65" s="1"/>
  <c r="I60" i="61"/>
  <c r="H65" i="61"/>
  <c r="I65" i="61" s="1"/>
  <c r="H62" i="61"/>
  <c r="I62" i="61" s="1"/>
  <c r="I59" i="61"/>
  <c r="H62" i="65"/>
  <c r="I62" i="65" s="1"/>
  <c r="I59" i="65"/>
  <c r="I50" i="56"/>
  <c r="H51" i="56"/>
  <c r="I50" i="58"/>
  <c r="H51" i="58"/>
  <c r="I50" i="59"/>
  <c r="H51" i="59"/>
  <c r="I66" i="46"/>
  <c r="O66" i="46" s="1"/>
  <c r="H67" i="46"/>
  <c r="I48" i="53"/>
  <c r="H49" i="53"/>
  <c r="H50" i="55"/>
  <c r="I49" i="55"/>
  <c r="H50" i="63"/>
  <c r="I49" i="63"/>
  <c r="H50" i="51"/>
  <c r="I49" i="51"/>
  <c r="H50" i="60"/>
  <c r="I49" i="60"/>
  <c r="M68" i="46"/>
  <c r="N67" i="46"/>
  <c r="H50" i="52"/>
  <c r="I49" i="52"/>
  <c r="H50" i="54"/>
  <c r="I49" i="54"/>
  <c r="R663" i="66"/>
  <c r="N663" i="66"/>
  <c r="Y663" i="66" s="1"/>
  <c r="V663" i="66"/>
  <c r="R630" i="66"/>
  <c r="U595" i="66"/>
  <c r="U629" i="66" s="1"/>
  <c r="V629" i="66" s="1"/>
  <c r="V594" i="66"/>
  <c r="M595" i="66"/>
  <c r="M629" i="66" s="1"/>
  <c r="N629" i="66" s="1"/>
  <c r="Y629" i="66" s="1"/>
  <c r="N594" i="66"/>
  <c r="Y594" i="66" s="1"/>
  <c r="R596" i="66"/>
  <c r="Q566" i="66"/>
  <c r="R566" i="66" s="1"/>
  <c r="R565" i="66"/>
  <c r="M566" i="66"/>
  <c r="N566" i="66" s="1"/>
  <c r="Y566" i="66" s="1"/>
  <c r="N565" i="66"/>
  <c r="Y565" i="66" s="1"/>
  <c r="U566" i="66"/>
  <c r="V566" i="66" s="1"/>
  <c r="V565" i="66"/>
  <c r="N531" i="66"/>
  <c r="Y531" i="66" s="1"/>
  <c r="M532" i="66"/>
  <c r="Q496" i="66"/>
  <c r="R495" i="66"/>
  <c r="I400" i="66"/>
  <c r="Y399" i="66"/>
  <c r="R396" i="66"/>
  <c r="Q397" i="66"/>
  <c r="I366" i="66"/>
  <c r="Y365" i="66"/>
  <c r="Q364" i="66"/>
  <c r="Q365" i="66" s="1"/>
  <c r="R365" i="66" s="1"/>
  <c r="R363" i="66"/>
  <c r="I333" i="66"/>
  <c r="Y333" i="66" s="1"/>
  <c r="Y332" i="66"/>
  <c r="Q333" i="66"/>
  <c r="R333" i="66" s="1"/>
  <c r="I300" i="66"/>
  <c r="Y299" i="66"/>
  <c r="R297" i="66"/>
  <c r="Q298" i="66"/>
  <c r="Q299" i="66" s="1"/>
  <c r="R299" i="66" s="1"/>
  <c r="I268" i="66"/>
  <c r="Y268" i="66" s="1"/>
  <c r="Y267" i="66"/>
  <c r="Y231" i="66"/>
  <c r="I232" i="66"/>
  <c r="R230" i="66"/>
  <c r="R197" i="66"/>
  <c r="I199" i="66"/>
  <c r="Y198" i="66"/>
  <c r="R164" i="66"/>
  <c r="I166" i="66"/>
  <c r="Y165" i="66"/>
  <c r="R131" i="66"/>
  <c r="I133" i="66"/>
  <c r="Y132" i="66"/>
  <c r="R99" i="66"/>
  <c r="I101" i="66"/>
  <c r="Y101" i="66" s="1"/>
  <c r="Y100" i="66"/>
  <c r="R41" i="46"/>
  <c r="L109" i="47"/>
  <c r="L474" i="66"/>
  <c r="Q14" i="65"/>
  <c r="K109" i="47"/>
  <c r="K474" i="66"/>
  <c r="R13" i="65"/>
  <c r="L143" i="47"/>
  <c r="P143" i="47"/>
  <c r="T143" i="47"/>
  <c r="L135" i="47"/>
  <c r="P135" i="47"/>
  <c r="T135" i="47"/>
  <c r="K136" i="47"/>
  <c r="L136" i="47"/>
  <c r="O136" i="47"/>
  <c r="P136" i="47"/>
  <c r="S136" i="47"/>
  <c r="T136" i="47"/>
  <c r="L128" i="47"/>
  <c r="P128" i="47"/>
  <c r="T128" i="47"/>
  <c r="K129" i="47"/>
  <c r="L129" i="47"/>
  <c r="O129" i="47"/>
  <c r="P129" i="47"/>
  <c r="S129" i="47"/>
  <c r="T129" i="47"/>
  <c r="L121" i="47"/>
  <c r="P121" i="47"/>
  <c r="T121" i="47"/>
  <c r="K122" i="47"/>
  <c r="L122" i="47"/>
  <c r="M122" i="47"/>
  <c r="M123" i="47" s="1"/>
  <c r="N123" i="47" s="1"/>
  <c r="O122" i="47"/>
  <c r="P122" i="47"/>
  <c r="S122" i="47"/>
  <c r="T122" i="47"/>
  <c r="U122" i="47"/>
  <c r="U123" i="47" s="1"/>
  <c r="V123" i="47" s="1"/>
  <c r="L114" i="47"/>
  <c r="M114" i="47"/>
  <c r="O114" i="47"/>
  <c r="P114" i="47"/>
  <c r="K115" i="47"/>
  <c r="L115" i="47"/>
  <c r="O115" i="47"/>
  <c r="P115" i="47"/>
  <c r="P113" i="47"/>
  <c r="L107" i="47"/>
  <c r="P107" i="47"/>
  <c r="T107" i="47"/>
  <c r="K108" i="47"/>
  <c r="L108" i="47"/>
  <c r="O108" i="47"/>
  <c r="P108" i="47"/>
  <c r="S108" i="47"/>
  <c r="T108" i="47"/>
  <c r="L100" i="47"/>
  <c r="M100" i="47"/>
  <c r="P100" i="47"/>
  <c r="T100" i="47"/>
  <c r="U100" i="47"/>
  <c r="K101" i="47"/>
  <c r="L101" i="47"/>
  <c r="M101" i="47"/>
  <c r="M102" i="47" s="1"/>
  <c r="N102" i="47" s="1"/>
  <c r="O101" i="47"/>
  <c r="P101" i="47"/>
  <c r="S101" i="47"/>
  <c r="T101" i="47"/>
  <c r="U101" i="47"/>
  <c r="U102" i="47" s="1"/>
  <c r="V102" i="47" s="1"/>
  <c r="L93" i="47"/>
  <c r="M93" i="47"/>
  <c r="P93" i="47"/>
  <c r="T93" i="47"/>
  <c r="U93" i="47"/>
  <c r="K94" i="47"/>
  <c r="L94" i="47"/>
  <c r="M94" i="47"/>
  <c r="O94" i="47"/>
  <c r="P94" i="47"/>
  <c r="S94" i="47"/>
  <c r="T94" i="47"/>
  <c r="U94" i="47"/>
  <c r="L86" i="47"/>
  <c r="M86" i="47"/>
  <c r="P86" i="47"/>
  <c r="T86" i="47"/>
  <c r="U86" i="47"/>
  <c r="K87" i="47"/>
  <c r="L87" i="47"/>
  <c r="M87" i="47"/>
  <c r="O87" i="47"/>
  <c r="P87" i="47"/>
  <c r="S87" i="47"/>
  <c r="T87" i="47"/>
  <c r="U87" i="47"/>
  <c r="L79" i="47"/>
  <c r="M79" i="47"/>
  <c r="P79" i="47"/>
  <c r="T79" i="47"/>
  <c r="U79" i="47"/>
  <c r="K80" i="47"/>
  <c r="L80" i="47"/>
  <c r="M80" i="47"/>
  <c r="O80" i="47"/>
  <c r="P80" i="47"/>
  <c r="S80" i="47"/>
  <c r="T80" i="47"/>
  <c r="U80" i="47"/>
  <c r="L72" i="47"/>
  <c r="M72" i="47"/>
  <c r="P72" i="47"/>
  <c r="T72" i="47"/>
  <c r="U72" i="47"/>
  <c r="K73" i="47"/>
  <c r="L73" i="47"/>
  <c r="M73" i="47"/>
  <c r="O73" i="47"/>
  <c r="P73" i="47"/>
  <c r="S73" i="47"/>
  <c r="T73" i="47"/>
  <c r="U73" i="47"/>
  <c r="L65" i="47"/>
  <c r="M65" i="47"/>
  <c r="P65" i="47"/>
  <c r="T65" i="47"/>
  <c r="U65" i="47"/>
  <c r="K66" i="47"/>
  <c r="L66" i="47"/>
  <c r="M66" i="47"/>
  <c r="O66" i="47"/>
  <c r="P66" i="47"/>
  <c r="S66" i="47"/>
  <c r="T66" i="47"/>
  <c r="U66" i="47"/>
  <c r="L59" i="47"/>
  <c r="M59" i="47"/>
  <c r="P59" i="47"/>
  <c r="S59" i="47"/>
  <c r="T59" i="47"/>
  <c r="U59" i="47"/>
  <c r="L62" i="47"/>
  <c r="M62" i="47"/>
  <c r="P62" i="47"/>
  <c r="T62" i="47"/>
  <c r="U62" i="47"/>
  <c r="M58" i="47"/>
  <c r="T58" i="47"/>
  <c r="U58" i="47"/>
  <c r="L51" i="47"/>
  <c r="P51" i="47"/>
  <c r="T51" i="47"/>
  <c r="U51" i="47"/>
  <c r="K52" i="47"/>
  <c r="L52" i="47"/>
  <c r="O52" i="47"/>
  <c r="P52" i="47"/>
  <c r="S52" i="47"/>
  <c r="T52" i="47"/>
  <c r="U52" i="47"/>
  <c r="L44" i="47"/>
  <c r="M44" i="47"/>
  <c r="P44" i="47"/>
  <c r="T44" i="47"/>
  <c r="U44" i="47"/>
  <c r="K45" i="47"/>
  <c r="L45" i="47"/>
  <c r="M45" i="47"/>
  <c r="O45" i="47"/>
  <c r="P45" i="47"/>
  <c r="S45" i="47"/>
  <c r="T45" i="47"/>
  <c r="U45" i="47"/>
  <c r="L37" i="47"/>
  <c r="M37" i="47"/>
  <c r="P37" i="47"/>
  <c r="T37" i="47"/>
  <c r="U37" i="47"/>
  <c r="K38" i="47"/>
  <c r="L38" i="47"/>
  <c r="M38" i="47"/>
  <c r="O38" i="47"/>
  <c r="P38" i="47"/>
  <c r="S38" i="47"/>
  <c r="T38" i="47"/>
  <c r="U38" i="47"/>
  <c r="L30" i="47"/>
  <c r="M30" i="47"/>
  <c r="P30" i="47"/>
  <c r="T30" i="47"/>
  <c r="U30" i="47"/>
  <c r="K31" i="47"/>
  <c r="L31" i="47"/>
  <c r="M31" i="47"/>
  <c r="O31" i="47"/>
  <c r="P31" i="47"/>
  <c r="S31" i="47"/>
  <c r="T31" i="47"/>
  <c r="U31" i="47"/>
  <c r="L23" i="47"/>
  <c r="M23" i="47"/>
  <c r="P23" i="47"/>
  <c r="T23" i="47"/>
  <c r="U23" i="47"/>
  <c r="K24" i="47"/>
  <c r="L24" i="47"/>
  <c r="M24" i="47"/>
  <c r="O24" i="47"/>
  <c r="P24" i="47"/>
  <c r="S24" i="47"/>
  <c r="T24" i="47"/>
  <c r="U24" i="47"/>
  <c r="C17" i="47"/>
  <c r="C19" i="47" s="1"/>
  <c r="I17" i="47"/>
  <c r="L15" i="47"/>
  <c r="M15" i="47"/>
  <c r="P15" i="47"/>
  <c r="T15" i="47"/>
  <c r="U15" i="47"/>
  <c r="L16" i="47"/>
  <c r="M16" i="47"/>
  <c r="P16" i="47"/>
  <c r="T16" i="47"/>
  <c r="U16" i="47"/>
  <c r="L9" i="47"/>
  <c r="M9" i="47"/>
  <c r="P9" i="47"/>
  <c r="T9" i="47"/>
  <c r="U9" i="47"/>
  <c r="K10" i="47"/>
  <c r="L10" i="47"/>
  <c r="M10" i="47"/>
  <c r="O10" i="47"/>
  <c r="P10" i="47"/>
  <c r="S10" i="47"/>
  <c r="T10" i="47"/>
  <c r="U10" i="47"/>
  <c r="I68" i="61" l="1"/>
  <c r="H52" i="59"/>
  <c r="I51" i="59"/>
  <c r="I50" i="54"/>
  <c r="H51" i="54"/>
  <c r="I50" i="60"/>
  <c r="H51" i="60"/>
  <c r="I50" i="55"/>
  <c r="H51" i="55"/>
  <c r="H52" i="58"/>
  <c r="I51" i="58"/>
  <c r="I50" i="52"/>
  <c r="H51" i="52"/>
  <c r="I50" i="51"/>
  <c r="H51" i="51"/>
  <c r="H52" i="56"/>
  <c r="I51" i="56"/>
  <c r="I50" i="63"/>
  <c r="H51" i="63"/>
  <c r="M69" i="46"/>
  <c r="N68" i="46"/>
  <c r="H50" i="53"/>
  <c r="I49" i="53"/>
  <c r="H68" i="46"/>
  <c r="I67" i="46"/>
  <c r="O67" i="46" s="1"/>
  <c r="U665" i="66"/>
  <c r="V665" i="66" s="1"/>
  <c r="M665" i="66"/>
  <c r="N665" i="66" s="1"/>
  <c r="Y665" i="66" s="1"/>
  <c r="Y664" i="66"/>
  <c r="Q665" i="66"/>
  <c r="R665" i="66" s="1"/>
  <c r="Q632" i="66"/>
  <c r="R632" i="66" s="1"/>
  <c r="Q598" i="66"/>
  <c r="M596" i="66"/>
  <c r="N595" i="66"/>
  <c r="Y595" i="66" s="1"/>
  <c r="V595" i="66"/>
  <c r="U596" i="66"/>
  <c r="N532" i="66"/>
  <c r="Y532" i="66" s="1"/>
  <c r="M533" i="66"/>
  <c r="N533" i="66" s="1"/>
  <c r="Y533" i="66" s="1"/>
  <c r="Q497" i="66"/>
  <c r="Q498" i="66" s="1"/>
  <c r="R498" i="66" s="1"/>
  <c r="R496" i="66"/>
  <c r="Q398" i="66"/>
  <c r="Q399" i="66" s="1"/>
  <c r="R399" i="66" s="1"/>
  <c r="R397" i="66"/>
  <c r="I401" i="66"/>
  <c r="Y401" i="66" s="1"/>
  <c r="Y400" i="66"/>
  <c r="R364" i="66"/>
  <c r="I367" i="66"/>
  <c r="Y366" i="66"/>
  <c r="R298" i="66"/>
  <c r="I301" i="66"/>
  <c r="Y301" i="66" s="1"/>
  <c r="Y300" i="66"/>
  <c r="Q232" i="66"/>
  <c r="I233" i="66"/>
  <c r="Y232" i="66"/>
  <c r="I200" i="66"/>
  <c r="Y200" i="66" s="1"/>
  <c r="Y199" i="66"/>
  <c r="Q199" i="66"/>
  <c r="I167" i="66"/>
  <c r="Y167" i="66" s="1"/>
  <c r="Y166" i="66"/>
  <c r="Q166" i="66"/>
  <c r="I134" i="66"/>
  <c r="Y134" i="66" s="1"/>
  <c r="Y133" i="66"/>
  <c r="Q133" i="66"/>
  <c r="Q101" i="66"/>
  <c r="R101" i="66" s="1"/>
  <c r="N474" i="66"/>
  <c r="Y474" i="66" s="1"/>
  <c r="K475" i="66"/>
  <c r="N475" i="66" s="1"/>
  <c r="Y475" i="66" s="1"/>
  <c r="K110" i="47"/>
  <c r="R14" i="65"/>
  <c r="W17" i="47"/>
  <c r="I19" i="47"/>
  <c r="W19" i="47" s="1"/>
  <c r="N94" i="47"/>
  <c r="N122" i="47"/>
  <c r="N115" i="47"/>
  <c r="V122" i="47"/>
  <c r="V73" i="47"/>
  <c r="N101" i="47"/>
  <c r="V101" i="47"/>
  <c r="N73" i="47"/>
  <c r="V94" i="47"/>
  <c r="N87" i="47"/>
  <c r="V87" i="47"/>
  <c r="V80" i="47"/>
  <c r="N80" i="47"/>
  <c r="N66" i="47"/>
  <c r="V66" i="47"/>
  <c r="V59" i="47"/>
  <c r="V45" i="47"/>
  <c r="N45" i="47"/>
  <c r="V52" i="47"/>
  <c r="N31" i="47"/>
  <c r="N38" i="47"/>
  <c r="V38" i="47"/>
  <c r="V31" i="47"/>
  <c r="N24" i="47"/>
  <c r="N10" i="47"/>
  <c r="V24" i="47"/>
  <c r="V10" i="47"/>
  <c r="Q11" i="54"/>
  <c r="R11" i="54" s="1"/>
  <c r="K11" i="54"/>
  <c r="S106" i="66" s="1"/>
  <c r="V106" i="66" s="1"/>
  <c r="F11" i="54"/>
  <c r="O106" i="66" s="1"/>
  <c r="R106" i="66" s="1"/>
  <c r="Q11" i="55"/>
  <c r="K139" i="66" s="1"/>
  <c r="N139" i="66" s="1"/>
  <c r="Y139" i="66" s="1"/>
  <c r="K11" i="55"/>
  <c r="S139" i="66" s="1"/>
  <c r="V139" i="66" s="1"/>
  <c r="F11" i="55"/>
  <c r="O139" i="66" s="1"/>
  <c r="R139" i="66" s="1"/>
  <c r="Q11" i="56"/>
  <c r="K11" i="56"/>
  <c r="S172" i="66" s="1"/>
  <c r="V172" i="66" s="1"/>
  <c r="F11" i="56"/>
  <c r="O172" i="66" s="1"/>
  <c r="R172" i="66" s="1"/>
  <c r="Q11" i="59"/>
  <c r="K273" i="66" s="1"/>
  <c r="N273" i="66" s="1"/>
  <c r="Y273" i="66" s="1"/>
  <c r="K11" i="59"/>
  <c r="S273" i="66" s="1"/>
  <c r="V273" i="66" s="1"/>
  <c r="F11" i="59"/>
  <c r="O273" i="66" s="1"/>
  <c r="R273" i="66" s="1"/>
  <c r="Q11" i="60"/>
  <c r="K11" i="60"/>
  <c r="S306" i="66" s="1"/>
  <c r="V306" i="66" s="1"/>
  <c r="F11" i="60"/>
  <c r="O306" i="66" s="1"/>
  <c r="R306" i="66" s="1"/>
  <c r="Q11" i="61"/>
  <c r="R11" i="61" s="1"/>
  <c r="K11" i="61"/>
  <c r="F11" i="61"/>
  <c r="Q11" i="62"/>
  <c r="K11" i="62"/>
  <c r="S373" i="66" s="1"/>
  <c r="V373" i="66" s="1"/>
  <c r="F11" i="62"/>
  <c r="O373" i="66" s="1"/>
  <c r="R373" i="66" s="1"/>
  <c r="Q11" i="63"/>
  <c r="K11" i="63"/>
  <c r="S406" i="66" s="1"/>
  <c r="V406" i="66" s="1"/>
  <c r="F11" i="63"/>
  <c r="O406" i="66" s="1"/>
  <c r="R406" i="66" s="1"/>
  <c r="Q11" i="64"/>
  <c r="K11" i="64"/>
  <c r="S439" i="66" s="1"/>
  <c r="V439" i="66" s="1"/>
  <c r="F11" i="64"/>
  <c r="O439" i="66" s="1"/>
  <c r="R439" i="66" s="1"/>
  <c r="Q11" i="53"/>
  <c r="R11" i="53" s="1"/>
  <c r="K11" i="53"/>
  <c r="S74" i="66" s="1"/>
  <c r="V74" i="66" s="1"/>
  <c r="F11" i="53"/>
  <c r="O74" i="66" s="1"/>
  <c r="R74" i="66" s="1"/>
  <c r="Q11" i="52"/>
  <c r="K11" i="52"/>
  <c r="S41" i="66" s="1"/>
  <c r="V41" i="66" s="1"/>
  <c r="F11" i="52"/>
  <c r="O41" i="66" s="1"/>
  <c r="Q30" i="49"/>
  <c r="K30" i="49"/>
  <c r="L30" i="49" s="1"/>
  <c r="F30" i="49"/>
  <c r="Q11" i="51"/>
  <c r="F11" i="51"/>
  <c r="O9" i="66" s="1"/>
  <c r="R9" i="66" s="1"/>
  <c r="Q34" i="48"/>
  <c r="K34" i="48"/>
  <c r="L34" i="48" s="1"/>
  <c r="F34" i="48"/>
  <c r="Q34" i="45"/>
  <c r="R34" i="45" s="1"/>
  <c r="K34" i="45"/>
  <c r="F34" i="45"/>
  <c r="H52" i="63" l="1"/>
  <c r="I51" i="63"/>
  <c r="H52" i="52"/>
  <c r="I51" i="52"/>
  <c r="H52" i="54"/>
  <c r="I51" i="54"/>
  <c r="H52" i="60"/>
  <c r="I51" i="60"/>
  <c r="I50" i="53"/>
  <c r="H51" i="53"/>
  <c r="H53" i="56"/>
  <c r="I52" i="56"/>
  <c r="H53" i="58"/>
  <c r="I52" i="58"/>
  <c r="I51" i="51"/>
  <c r="H52" i="51"/>
  <c r="H52" i="55"/>
  <c r="I51" i="55"/>
  <c r="H53" i="59"/>
  <c r="I52" i="59"/>
  <c r="H69" i="46"/>
  <c r="I68" i="46"/>
  <c r="O68" i="46" s="1"/>
  <c r="N69" i="46"/>
  <c r="M70" i="46"/>
  <c r="U630" i="66"/>
  <c r="V630" i="66" s="1"/>
  <c r="U597" i="66"/>
  <c r="M630" i="66"/>
  <c r="N630" i="66" s="1"/>
  <c r="Y630" i="66" s="1"/>
  <c r="M597" i="66"/>
  <c r="V596" i="66"/>
  <c r="N596" i="66"/>
  <c r="Y596" i="66" s="1"/>
  <c r="Q599" i="66"/>
  <c r="R598" i="66"/>
  <c r="R497" i="66"/>
  <c r="R398" i="66"/>
  <c r="I368" i="66"/>
  <c r="Y368" i="66" s="1"/>
  <c r="Y367" i="66"/>
  <c r="Q366" i="66"/>
  <c r="Q300" i="66"/>
  <c r="Y233" i="66"/>
  <c r="I234" i="66"/>
  <c r="Y234" i="66" s="1"/>
  <c r="R232" i="66"/>
  <c r="Q233" i="66"/>
  <c r="Q200" i="66"/>
  <c r="R200" i="66" s="1"/>
  <c r="R199" i="66"/>
  <c r="Q167" i="66"/>
  <c r="R167" i="66" s="1"/>
  <c r="R166" i="66"/>
  <c r="R133" i="66"/>
  <c r="Q134" i="66"/>
  <c r="R134" i="66" s="1"/>
  <c r="R11" i="64"/>
  <c r="K439" i="66"/>
  <c r="N439" i="66" s="1"/>
  <c r="Y439" i="66" s="1"/>
  <c r="O143" i="47"/>
  <c r="O638" i="66"/>
  <c r="R638" i="66" s="1"/>
  <c r="R41" i="66"/>
  <c r="K86" i="47"/>
  <c r="N86" i="47" s="1"/>
  <c r="K373" i="66"/>
  <c r="N373" i="66" s="1"/>
  <c r="Y373" i="66" s="1"/>
  <c r="K128" i="47"/>
  <c r="K571" i="66"/>
  <c r="N571" i="66" s="1"/>
  <c r="Y571" i="66" s="1"/>
  <c r="K135" i="47"/>
  <c r="K605" i="66"/>
  <c r="N605" i="66" s="1"/>
  <c r="Y605" i="66" s="1"/>
  <c r="K93" i="47"/>
  <c r="N93" i="47" s="1"/>
  <c r="K406" i="66"/>
  <c r="N406" i="66" s="1"/>
  <c r="Y406" i="66" s="1"/>
  <c r="O79" i="47"/>
  <c r="O339" i="66"/>
  <c r="R339" i="66" s="1"/>
  <c r="K44" i="47"/>
  <c r="N44" i="47" s="1"/>
  <c r="K172" i="66"/>
  <c r="N172" i="66" s="1"/>
  <c r="Y172" i="66" s="1"/>
  <c r="O128" i="47"/>
  <c r="O571" i="66"/>
  <c r="R571" i="66" s="1"/>
  <c r="O135" i="47"/>
  <c r="O605" i="66"/>
  <c r="R605" i="66" s="1"/>
  <c r="S143" i="47"/>
  <c r="S638" i="66"/>
  <c r="V638" i="66" s="1"/>
  <c r="K16" i="47"/>
  <c r="N16" i="47" s="1"/>
  <c r="K41" i="66"/>
  <c r="N41" i="66" s="1"/>
  <c r="K23" i="47"/>
  <c r="N23" i="47" s="1"/>
  <c r="K74" i="66"/>
  <c r="N74" i="66" s="1"/>
  <c r="Y74" i="66" s="1"/>
  <c r="K100" i="47"/>
  <c r="N100" i="47" s="1"/>
  <c r="S79" i="47"/>
  <c r="V79" i="47" s="1"/>
  <c r="S339" i="66"/>
  <c r="V339" i="66" s="1"/>
  <c r="K65" i="47"/>
  <c r="N65" i="47" s="1"/>
  <c r="S128" i="47"/>
  <c r="S571" i="66"/>
  <c r="V571" i="66" s="1"/>
  <c r="K9" i="47"/>
  <c r="N9" i="47" s="1"/>
  <c r="K9" i="66"/>
  <c r="N9" i="66" s="1"/>
  <c r="Y9" i="66" s="1"/>
  <c r="K143" i="47"/>
  <c r="K638" i="66"/>
  <c r="N638" i="66" s="1"/>
  <c r="Y638" i="66" s="1"/>
  <c r="O100" i="47"/>
  <c r="K72" i="47"/>
  <c r="N72" i="47" s="1"/>
  <c r="K306" i="66"/>
  <c r="N306" i="66" s="1"/>
  <c r="Y306" i="66" s="1"/>
  <c r="S135" i="47"/>
  <c r="S605" i="66"/>
  <c r="V605" i="66" s="1"/>
  <c r="K79" i="47"/>
  <c r="N79" i="47" s="1"/>
  <c r="K339" i="66"/>
  <c r="N339" i="66" s="1"/>
  <c r="Y339" i="66" s="1"/>
  <c r="K30" i="47"/>
  <c r="N30" i="47" s="1"/>
  <c r="K106" i="66"/>
  <c r="N106" i="66" s="1"/>
  <c r="Y106" i="66" s="1"/>
  <c r="G34" i="45"/>
  <c r="L34" i="45"/>
  <c r="G34" i="48"/>
  <c r="G30" i="49"/>
  <c r="R11" i="62"/>
  <c r="R34" i="48"/>
  <c r="R30" i="49"/>
  <c r="R11" i="56"/>
  <c r="L11" i="64"/>
  <c r="S100" i="47"/>
  <c r="V100" i="47" s="1"/>
  <c r="G11" i="62"/>
  <c r="O86" i="47"/>
  <c r="L11" i="62"/>
  <c r="S86" i="47"/>
  <c r="V86" i="47" s="1"/>
  <c r="G11" i="61"/>
  <c r="L11" i="61"/>
  <c r="G11" i="60"/>
  <c r="O72" i="47"/>
  <c r="R11" i="60"/>
  <c r="L11" i="60"/>
  <c r="S72" i="47"/>
  <c r="V72" i="47" s="1"/>
  <c r="L11" i="59"/>
  <c r="S65" i="47"/>
  <c r="V65" i="47" s="1"/>
  <c r="G11" i="59"/>
  <c r="O65" i="47"/>
  <c r="R11" i="59"/>
  <c r="L11" i="56"/>
  <c r="S44" i="47"/>
  <c r="V44" i="47" s="1"/>
  <c r="G11" i="56"/>
  <c r="O44" i="47"/>
  <c r="L11" i="55"/>
  <c r="S37" i="47"/>
  <c r="V37" i="47" s="1"/>
  <c r="G11" i="55"/>
  <c r="I11" i="55" s="1"/>
  <c r="O37" i="47"/>
  <c r="R11" i="55"/>
  <c r="K37" i="47"/>
  <c r="N37" i="47" s="1"/>
  <c r="L11" i="54"/>
  <c r="S30" i="47"/>
  <c r="V30" i="47" s="1"/>
  <c r="G11" i="54"/>
  <c r="O30" i="47"/>
  <c r="G11" i="53"/>
  <c r="O23" i="47"/>
  <c r="L11" i="53"/>
  <c r="S23" i="47"/>
  <c r="V23" i="47" s="1"/>
  <c r="L11" i="52"/>
  <c r="S16" i="47"/>
  <c r="V16" i="47" s="1"/>
  <c r="G11" i="52"/>
  <c r="O16" i="47"/>
  <c r="R11" i="52"/>
  <c r="G11" i="51"/>
  <c r="O9" i="47"/>
  <c r="R11" i="51"/>
  <c r="G11" i="63"/>
  <c r="O93" i="47"/>
  <c r="R11" i="63"/>
  <c r="L11" i="63"/>
  <c r="S93" i="47"/>
  <c r="V93" i="47" s="1"/>
  <c r="G11" i="64"/>
  <c r="M57" i="47"/>
  <c r="U57" i="47"/>
  <c r="C63" i="47"/>
  <c r="E63" i="47"/>
  <c r="F63" i="47"/>
  <c r="I63" i="47"/>
  <c r="J63" i="47"/>
  <c r="L63" i="47"/>
  <c r="M63" i="47"/>
  <c r="P63" i="47"/>
  <c r="Q63" i="47"/>
  <c r="T63" i="47"/>
  <c r="U63" i="47"/>
  <c r="J10" i="58"/>
  <c r="P10" i="58"/>
  <c r="L239" i="66" s="1"/>
  <c r="Q10" i="58"/>
  <c r="K10" i="58"/>
  <c r="F10" i="58"/>
  <c r="O239" i="66" s="1"/>
  <c r="E10" i="58"/>
  <c r="H53" i="55" l="1"/>
  <c r="I52" i="55"/>
  <c r="H54" i="56"/>
  <c r="I53" i="56"/>
  <c r="H53" i="54"/>
  <c r="I52" i="54"/>
  <c r="H53" i="51"/>
  <c r="I52" i="51"/>
  <c r="H52" i="53"/>
  <c r="I51" i="53"/>
  <c r="H53" i="52"/>
  <c r="I52" i="52"/>
  <c r="H54" i="59"/>
  <c r="I53" i="59"/>
  <c r="H54" i="58"/>
  <c r="I53" i="58"/>
  <c r="H53" i="60"/>
  <c r="I52" i="60"/>
  <c r="H53" i="63"/>
  <c r="I52" i="63"/>
  <c r="M72" i="46"/>
  <c r="N70" i="46"/>
  <c r="H70" i="46"/>
  <c r="I69" i="46"/>
  <c r="O69" i="46" s="1"/>
  <c r="M631" i="66"/>
  <c r="N631" i="66" s="1"/>
  <c r="Y631" i="66" s="1"/>
  <c r="N597" i="66"/>
  <c r="Y597" i="66" s="1"/>
  <c r="U631" i="66"/>
  <c r="V631" i="66" s="1"/>
  <c r="V597" i="66"/>
  <c r="Q600" i="66"/>
  <c r="R600" i="66" s="1"/>
  <c r="R599" i="66"/>
  <c r="M598" i="66"/>
  <c r="M632" i="66" s="1"/>
  <c r="N632" i="66" s="1"/>
  <c r="Y632" i="66" s="1"/>
  <c r="U598" i="66"/>
  <c r="U632" i="66" s="1"/>
  <c r="V632" i="66" s="1"/>
  <c r="Q400" i="66"/>
  <c r="Q367" i="66"/>
  <c r="R366" i="66"/>
  <c r="R300" i="66"/>
  <c r="Q301" i="66"/>
  <c r="R301" i="66" s="1"/>
  <c r="R233" i="66"/>
  <c r="Q234" i="66"/>
  <c r="R234" i="66" s="1"/>
  <c r="Y41" i="66"/>
  <c r="K11" i="58"/>
  <c r="S240" i="66" s="1"/>
  <c r="V240" i="66" s="1"/>
  <c r="T239" i="66"/>
  <c r="K57" i="47"/>
  <c r="K239" i="66"/>
  <c r="N239" i="66" s="1"/>
  <c r="Y239" i="66" s="1"/>
  <c r="P57" i="47"/>
  <c r="P239" i="66"/>
  <c r="R239" i="66" s="1"/>
  <c r="L10" i="58"/>
  <c r="S239" i="66"/>
  <c r="R10" i="58"/>
  <c r="P11" i="58"/>
  <c r="L240" i="66" s="1"/>
  <c r="Q11" i="58"/>
  <c r="G10" i="58"/>
  <c r="L11" i="58"/>
  <c r="T57" i="47"/>
  <c r="O57" i="47"/>
  <c r="S57" i="47"/>
  <c r="E11" i="58"/>
  <c r="P240" i="66" s="1"/>
  <c r="F11" i="58"/>
  <c r="O240" i="66" s="1"/>
  <c r="L57" i="47"/>
  <c r="L142" i="47"/>
  <c r="P142" i="47"/>
  <c r="T142" i="47"/>
  <c r="L134" i="47"/>
  <c r="P134" i="47"/>
  <c r="T134" i="47"/>
  <c r="L127" i="47"/>
  <c r="P127" i="47"/>
  <c r="T127" i="47"/>
  <c r="M120" i="47"/>
  <c r="M121" i="47" s="1"/>
  <c r="U120" i="47"/>
  <c r="U121" i="47" s="1"/>
  <c r="M113" i="47"/>
  <c r="O113" i="47"/>
  <c r="L99" i="47"/>
  <c r="M99" i="47"/>
  <c r="P99" i="47"/>
  <c r="T99" i="47"/>
  <c r="U99" i="47"/>
  <c r="L92" i="47"/>
  <c r="M92" i="47"/>
  <c r="P92" i="47"/>
  <c r="T92" i="47"/>
  <c r="U92" i="47"/>
  <c r="L85" i="47"/>
  <c r="M85" i="47"/>
  <c r="P85" i="47"/>
  <c r="T85" i="47"/>
  <c r="U85" i="47"/>
  <c r="L78" i="47"/>
  <c r="M78" i="47"/>
  <c r="P78" i="47"/>
  <c r="T78" i="47"/>
  <c r="U78" i="47"/>
  <c r="L71" i="47"/>
  <c r="M71" i="47"/>
  <c r="P71" i="47"/>
  <c r="T71" i="47"/>
  <c r="U71" i="47"/>
  <c r="L64" i="47"/>
  <c r="M64" i="47"/>
  <c r="P64" i="47"/>
  <c r="T64" i="47"/>
  <c r="U64" i="47"/>
  <c r="Q10" i="57"/>
  <c r="P10" i="57"/>
  <c r="L204" i="66" s="1"/>
  <c r="J10" i="57"/>
  <c r="T204" i="66" s="1"/>
  <c r="E10" i="57"/>
  <c r="P204" i="66" s="1"/>
  <c r="K10" i="57"/>
  <c r="S204" i="66" s="1"/>
  <c r="F10" i="57"/>
  <c r="O204" i="66" s="1"/>
  <c r="U50" i="47"/>
  <c r="L43" i="47"/>
  <c r="M43" i="47"/>
  <c r="P43" i="47"/>
  <c r="T43" i="47"/>
  <c r="U43" i="47"/>
  <c r="L36" i="47"/>
  <c r="M36" i="47"/>
  <c r="P36" i="47"/>
  <c r="T36" i="47"/>
  <c r="U36" i="47"/>
  <c r="L29" i="47"/>
  <c r="M29" i="47"/>
  <c r="P29" i="47"/>
  <c r="T29" i="47"/>
  <c r="U29" i="47"/>
  <c r="U22" i="47"/>
  <c r="T22" i="47"/>
  <c r="P22" i="47"/>
  <c r="M22" i="47"/>
  <c r="L22" i="47"/>
  <c r="J15" i="47"/>
  <c r="J17" i="47" s="1"/>
  <c r="J19" i="47" s="1"/>
  <c r="E17" i="47"/>
  <c r="E19" i="47" s="1"/>
  <c r="F17" i="47"/>
  <c r="F19" i="47" s="1"/>
  <c r="L8" i="47"/>
  <c r="M8" i="47"/>
  <c r="P8" i="47"/>
  <c r="U8" i="47"/>
  <c r="I54" i="56" l="1"/>
  <c r="H55" i="56"/>
  <c r="I54" i="58"/>
  <c r="H55" i="58"/>
  <c r="I54" i="59"/>
  <c r="H55" i="59"/>
  <c r="H54" i="52"/>
  <c r="I53" i="52"/>
  <c r="H54" i="54"/>
  <c r="I53" i="54"/>
  <c r="H54" i="60"/>
  <c r="I53" i="60"/>
  <c r="H53" i="53"/>
  <c r="I52" i="53"/>
  <c r="H54" i="63"/>
  <c r="I53" i="63"/>
  <c r="S58" i="47"/>
  <c r="V58" i="47" s="1"/>
  <c r="H54" i="51"/>
  <c r="I53" i="51"/>
  <c r="H54" i="55"/>
  <c r="I53" i="55"/>
  <c r="I70" i="46"/>
  <c r="O70" i="46" s="1"/>
  <c r="H72" i="46"/>
  <c r="M73" i="46"/>
  <c r="N72" i="46"/>
  <c r="V598" i="66"/>
  <c r="U599" i="66"/>
  <c r="N598" i="66"/>
  <c r="Y598" i="66" s="1"/>
  <c r="M599" i="66"/>
  <c r="Q401" i="66"/>
  <c r="R401" i="66" s="1"/>
  <c r="R400" i="66"/>
  <c r="Q368" i="66"/>
  <c r="R368" i="66" s="1"/>
  <c r="R367" i="66"/>
  <c r="V239" i="66"/>
  <c r="V204" i="66"/>
  <c r="R204" i="66"/>
  <c r="K50" i="47"/>
  <c r="K204" i="66"/>
  <c r="N57" i="47"/>
  <c r="K58" i="47"/>
  <c r="K240" i="66"/>
  <c r="N240" i="66" s="1"/>
  <c r="Y240" i="66" s="1"/>
  <c r="R240" i="66"/>
  <c r="AD9" i="66"/>
  <c r="V57" i="47"/>
  <c r="G11" i="58"/>
  <c r="O58" i="47"/>
  <c r="F12" i="58"/>
  <c r="O241" i="66" s="1"/>
  <c r="R241" i="66" s="1"/>
  <c r="P58" i="47"/>
  <c r="AB9" i="47" s="1"/>
  <c r="Q12" i="58"/>
  <c r="K241" i="66" s="1"/>
  <c r="N241" i="66" s="1"/>
  <c r="Y241" i="66" s="1"/>
  <c r="L58" i="47"/>
  <c r="R11" i="58"/>
  <c r="T50" i="47"/>
  <c r="K11" i="57"/>
  <c r="S205" i="66" s="1"/>
  <c r="V205" i="66" s="1"/>
  <c r="L50" i="47"/>
  <c r="Q11" i="57"/>
  <c r="K205" i="66" s="1"/>
  <c r="P50" i="47"/>
  <c r="F11" i="57"/>
  <c r="O205" i="66" s="1"/>
  <c r="Q17" i="47"/>
  <c r="R10" i="57"/>
  <c r="L10" i="57"/>
  <c r="G10" i="57"/>
  <c r="S50" i="47"/>
  <c r="O50" i="47"/>
  <c r="J10" i="65"/>
  <c r="T471" i="66" s="1"/>
  <c r="K10" i="65"/>
  <c r="Q10" i="65"/>
  <c r="P10" i="65"/>
  <c r="F10" i="65"/>
  <c r="O471" i="66" s="1"/>
  <c r="E10" i="65"/>
  <c r="P471" i="66" s="1"/>
  <c r="Q10" i="53"/>
  <c r="K10" i="53"/>
  <c r="L10" i="53" s="1"/>
  <c r="F10" i="53"/>
  <c r="O73" i="66" s="1"/>
  <c r="R73" i="66" s="1"/>
  <c r="J10" i="51"/>
  <c r="M10" i="51"/>
  <c r="M11" i="51" s="1"/>
  <c r="M12" i="51" s="1"/>
  <c r="K10" i="51"/>
  <c r="H10" i="51"/>
  <c r="H11" i="51" s="1"/>
  <c r="F10" i="51"/>
  <c r="Q29" i="49"/>
  <c r="R29" i="49" s="1"/>
  <c r="K29" i="49"/>
  <c r="F29" i="49"/>
  <c r="G29" i="49" s="1"/>
  <c r="Q39" i="46"/>
  <c r="P39" i="46"/>
  <c r="L503" i="66" s="1"/>
  <c r="Q33" i="45"/>
  <c r="K33" i="45"/>
  <c r="L33" i="45" s="1"/>
  <c r="F33" i="45"/>
  <c r="J33" i="44"/>
  <c r="H33" i="44"/>
  <c r="H34" i="44" s="1"/>
  <c r="H35" i="44" s="1"/>
  <c r="M33" i="44"/>
  <c r="M34" i="44" s="1"/>
  <c r="M35" i="44" s="1"/>
  <c r="S33" i="44"/>
  <c r="Q33" i="44"/>
  <c r="K33" i="44"/>
  <c r="F33" i="44"/>
  <c r="P33" i="44"/>
  <c r="L537" i="66" s="1"/>
  <c r="E33" i="44"/>
  <c r="P537" i="66" s="1"/>
  <c r="K10" i="64"/>
  <c r="S438" i="66" s="1"/>
  <c r="V438" i="66" s="1"/>
  <c r="F10" i="64"/>
  <c r="O438" i="66" s="1"/>
  <c r="R438" i="66" s="1"/>
  <c r="Q10" i="64"/>
  <c r="K438" i="66" s="1"/>
  <c r="N438" i="66" s="1"/>
  <c r="Y438" i="66" s="1"/>
  <c r="Q10" i="63"/>
  <c r="R10" i="63" s="1"/>
  <c r="K10" i="63"/>
  <c r="F10" i="63"/>
  <c r="Q10" i="62"/>
  <c r="R10" i="62" s="1"/>
  <c r="K10" i="62"/>
  <c r="S372" i="66" s="1"/>
  <c r="V372" i="66" s="1"/>
  <c r="F10" i="62"/>
  <c r="O372" i="66" s="1"/>
  <c r="R372" i="66" s="1"/>
  <c r="Q10" i="61"/>
  <c r="K10" i="61"/>
  <c r="S338" i="66" s="1"/>
  <c r="V338" i="66" s="1"/>
  <c r="F10" i="61"/>
  <c r="O338" i="66" s="1"/>
  <c r="R338" i="66" s="1"/>
  <c r="Q10" i="60"/>
  <c r="R10" i="60" s="1"/>
  <c r="K10" i="60"/>
  <c r="S305" i="66" s="1"/>
  <c r="V305" i="66" s="1"/>
  <c r="F10" i="60"/>
  <c r="Q10" i="59"/>
  <c r="K272" i="66" s="1"/>
  <c r="N272" i="66" s="1"/>
  <c r="Y272" i="66" s="1"/>
  <c r="K10" i="59"/>
  <c r="S272" i="66" s="1"/>
  <c r="V272" i="66" s="1"/>
  <c r="F10" i="59"/>
  <c r="O272" i="66" s="1"/>
  <c r="R272" i="66" s="1"/>
  <c r="Q10" i="56"/>
  <c r="K10" i="56"/>
  <c r="F10" i="56"/>
  <c r="K10" i="55"/>
  <c r="S138" i="66" s="1"/>
  <c r="V138" i="66" s="1"/>
  <c r="Q10" i="55"/>
  <c r="R10" i="55" s="1"/>
  <c r="F10" i="55"/>
  <c r="Q10" i="54"/>
  <c r="R10" i="54" s="1"/>
  <c r="K10" i="54"/>
  <c r="L10" i="54" s="1"/>
  <c r="F10" i="54"/>
  <c r="O105" i="66" s="1"/>
  <c r="R105" i="66" s="1"/>
  <c r="Q10" i="52"/>
  <c r="R10" i="52" s="1"/>
  <c r="K10" i="52"/>
  <c r="F10" i="52"/>
  <c r="G10" i="52" s="1"/>
  <c r="S10" i="51"/>
  <c r="S11" i="51" s="1"/>
  <c r="Q10" i="51"/>
  <c r="R10" i="51" s="1"/>
  <c r="S33" i="48"/>
  <c r="Q33" i="48"/>
  <c r="M33" i="48"/>
  <c r="M34" i="48" s="1"/>
  <c r="K33" i="48"/>
  <c r="H33" i="48"/>
  <c r="H34" i="48" s="1"/>
  <c r="F33" i="48"/>
  <c r="G33" i="48" s="1"/>
  <c r="I54" i="60" l="1"/>
  <c r="H55" i="60"/>
  <c r="I54" i="51"/>
  <c r="H55" i="51"/>
  <c r="I54" i="63"/>
  <c r="H55" i="63"/>
  <c r="I54" i="52"/>
  <c r="H55" i="52"/>
  <c r="I54" i="55"/>
  <c r="H55" i="55"/>
  <c r="H57" i="56"/>
  <c r="I55" i="56"/>
  <c r="I54" i="54"/>
  <c r="H55" i="54"/>
  <c r="H57" i="58"/>
  <c r="I55" i="58"/>
  <c r="H57" i="59"/>
  <c r="I55" i="59"/>
  <c r="H54" i="53"/>
  <c r="I53" i="53"/>
  <c r="M74" i="46"/>
  <c r="N73" i="46"/>
  <c r="I72" i="46"/>
  <c r="O72" i="46" s="1"/>
  <c r="H73" i="46"/>
  <c r="N599" i="66"/>
  <c r="Y599" i="66" s="1"/>
  <c r="M600" i="66"/>
  <c r="N600" i="66" s="1"/>
  <c r="Y600" i="66" s="1"/>
  <c r="U600" i="66"/>
  <c r="V600" i="66" s="1"/>
  <c r="V599" i="66"/>
  <c r="N58" i="47"/>
  <c r="O64" i="47"/>
  <c r="S120" i="47"/>
  <c r="S537" i="66"/>
  <c r="K8" i="47"/>
  <c r="N8" i="47" s="1"/>
  <c r="K8" i="66"/>
  <c r="N8" i="66" s="1"/>
  <c r="Y8" i="66" s="1"/>
  <c r="S15" i="47"/>
  <c r="V15" i="47" s="1"/>
  <c r="S40" i="66"/>
  <c r="V40" i="66" s="1"/>
  <c r="O36" i="47"/>
  <c r="O138" i="66"/>
  <c r="R138" i="66" s="1"/>
  <c r="O43" i="47"/>
  <c r="O171" i="66"/>
  <c r="R171" i="66" s="1"/>
  <c r="K78" i="47"/>
  <c r="N78" i="47" s="1"/>
  <c r="K338" i="66"/>
  <c r="N338" i="66" s="1"/>
  <c r="Y338" i="66" s="1"/>
  <c r="K85" i="47"/>
  <c r="N85" i="47" s="1"/>
  <c r="K372" i="66"/>
  <c r="N372" i="66" s="1"/>
  <c r="Y372" i="66" s="1"/>
  <c r="K92" i="47"/>
  <c r="N92" i="47" s="1"/>
  <c r="K405" i="66"/>
  <c r="N405" i="66" s="1"/>
  <c r="Y405" i="66" s="1"/>
  <c r="R33" i="44"/>
  <c r="S127" i="47"/>
  <c r="S570" i="66"/>
  <c r="V570" i="66" s="1"/>
  <c r="K142" i="47"/>
  <c r="K637" i="66"/>
  <c r="N637" i="66" s="1"/>
  <c r="Y637" i="66" s="1"/>
  <c r="S22" i="47"/>
  <c r="V22" i="47" s="1"/>
  <c r="S73" i="66"/>
  <c r="V73" i="66" s="1"/>
  <c r="R10" i="65"/>
  <c r="L471" i="66"/>
  <c r="K134" i="47"/>
  <c r="K604" i="66"/>
  <c r="N604" i="66" s="1"/>
  <c r="Y604" i="66" s="1"/>
  <c r="S29" i="47"/>
  <c r="V29" i="47" s="1"/>
  <c r="S105" i="66"/>
  <c r="V105" i="66" s="1"/>
  <c r="S43" i="47"/>
  <c r="V43" i="47" s="1"/>
  <c r="S171" i="66"/>
  <c r="V171" i="66" s="1"/>
  <c r="K64" i="47"/>
  <c r="N64" i="47" s="1"/>
  <c r="K71" i="47"/>
  <c r="N71" i="47" s="1"/>
  <c r="K305" i="66"/>
  <c r="N305" i="66" s="1"/>
  <c r="Y305" i="66" s="1"/>
  <c r="O92" i="47"/>
  <c r="O405" i="66"/>
  <c r="R405" i="66" s="1"/>
  <c r="K99" i="47"/>
  <c r="N99" i="47" s="1"/>
  <c r="K120" i="47"/>
  <c r="K537" i="66"/>
  <c r="N537" i="66" s="1"/>
  <c r="Y537" i="66" s="1"/>
  <c r="K34" i="44"/>
  <c r="S538" i="66" s="1"/>
  <c r="V538" i="66" s="1"/>
  <c r="T537" i="66"/>
  <c r="K127" i="47"/>
  <c r="K570" i="66"/>
  <c r="N570" i="66" s="1"/>
  <c r="Y570" i="66" s="1"/>
  <c r="O142" i="47"/>
  <c r="O637" i="66"/>
  <c r="R637" i="66" s="1"/>
  <c r="O8" i="47"/>
  <c r="O8" i="66"/>
  <c r="R8" i="66" s="1"/>
  <c r="K11" i="51"/>
  <c r="S9" i="66" s="1"/>
  <c r="V9" i="66" s="1"/>
  <c r="T8" i="66"/>
  <c r="K22" i="47"/>
  <c r="N22" i="47" s="1"/>
  <c r="K73" i="66"/>
  <c r="N73" i="66" s="1"/>
  <c r="Y73" i="66" s="1"/>
  <c r="K106" i="47"/>
  <c r="K471" i="66"/>
  <c r="O134" i="47"/>
  <c r="O604" i="66"/>
  <c r="R604" i="66" s="1"/>
  <c r="K15" i="47"/>
  <c r="N15" i="47" s="1"/>
  <c r="W15" i="47" s="1"/>
  <c r="K40" i="66"/>
  <c r="N40" i="66" s="1"/>
  <c r="K36" i="47"/>
  <c r="N36" i="47" s="1"/>
  <c r="K138" i="66"/>
  <c r="N138" i="66" s="1"/>
  <c r="Y138" i="66" s="1"/>
  <c r="K43" i="47"/>
  <c r="N43" i="47" s="1"/>
  <c r="K171" i="66"/>
  <c r="N171" i="66" s="1"/>
  <c r="Y171" i="66" s="1"/>
  <c r="O71" i="47"/>
  <c r="O305" i="66"/>
  <c r="R305" i="66" s="1"/>
  <c r="S92" i="47"/>
  <c r="V92" i="47" s="1"/>
  <c r="S405" i="66"/>
  <c r="V405" i="66" s="1"/>
  <c r="O120" i="47"/>
  <c r="O537" i="66"/>
  <c r="R537" i="66" s="1"/>
  <c r="O127" i="47"/>
  <c r="O570" i="66"/>
  <c r="R570" i="66" s="1"/>
  <c r="S142" i="47"/>
  <c r="S637" i="66"/>
  <c r="V637" i="66" s="1"/>
  <c r="R471" i="66"/>
  <c r="S106" i="47"/>
  <c r="S471" i="66"/>
  <c r="V471" i="66" s="1"/>
  <c r="R205" i="66"/>
  <c r="S134" i="47"/>
  <c r="S604" i="66"/>
  <c r="V604" i="66" s="1"/>
  <c r="O15" i="47"/>
  <c r="R15" i="47" s="1"/>
  <c r="O40" i="66"/>
  <c r="R40" i="66" s="1"/>
  <c r="K29" i="47"/>
  <c r="N29" i="47" s="1"/>
  <c r="K105" i="66"/>
  <c r="N105" i="66" s="1"/>
  <c r="Y105" i="66" s="1"/>
  <c r="K113" i="47"/>
  <c r="K503" i="66"/>
  <c r="N503" i="66" s="1"/>
  <c r="Y503" i="66" s="1"/>
  <c r="S8" i="47"/>
  <c r="S8" i="66"/>
  <c r="R17" i="47"/>
  <c r="Q19" i="47"/>
  <c r="R19" i="47" s="1"/>
  <c r="M36" i="44"/>
  <c r="N35" i="44"/>
  <c r="T10" i="51"/>
  <c r="R33" i="48"/>
  <c r="T33" i="48" s="1"/>
  <c r="L10" i="52"/>
  <c r="G10" i="59"/>
  <c r="T33" i="44"/>
  <c r="S34" i="44"/>
  <c r="S35" i="44" s="1"/>
  <c r="L113" i="47"/>
  <c r="Q40" i="46"/>
  <c r="K504" i="66" s="1"/>
  <c r="N504" i="66" s="1"/>
  <c r="Y504" i="66" s="1"/>
  <c r="H35" i="48"/>
  <c r="I34" i="48"/>
  <c r="S34" i="48"/>
  <c r="P120" i="47"/>
  <c r="F34" i="44"/>
  <c r="O538" i="66" s="1"/>
  <c r="R538" i="66" s="1"/>
  <c r="H36" i="44"/>
  <c r="I35" i="44"/>
  <c r="M35" i="48"/>
  <c r="N34" i="48"/>
  <c r="L120" i="47"/>
  <c r="Q34" i="44"/>
  <c r="K538" i="66" s="1"/>
  <c r="N538" i="66" s="1"/>
  <c r="Y538" i="66" s="1"/>
  <c r="V50" i="47"/>
  <c r="T106" i="47"/>
  <c r="K11" i="65"/>
  <c r="S472" i="66" s="1"/>
  <c r="V472" i="66" s="1"/>
  <c r="P106" i="47"/>
  <c r="F11" i="65"/>
  <c r="O472" i="66" s="1"/>
  <c r="R472" i="66" s="1"/>
  <c r="L10" i="65"/>
  <c r="L106" i="47"/>
  <c r="Q11" i="65"/>
  <c r="K472" i="66" s="1"/>
  <c r="N472" i="66" s="1"/>
  <c r="Y472" i="66" s="1"/>
  <c r="R10" i="64"/>
  <c r="R10" i="61"/>
  <c r="R10" i="59"/>
  <c r="R12" i="58"/>
  <c r="K59" i="47"/>
  <c r="N59" i="47" s="1"/>
  <c r="G12" i="58"/>
  <c r="O59" i="47"/>
  <c r="K51" i="47"/>
  <c r="R11" i="57"/>
  <c r="G11" i="57"/>
  <c r="O51" i="47"/>
  <c r="L11" i="57"/>
  <c r="S51" i="47"/>
  <c r="V51" i="47" s="1"/>
  <c r="L10" i="56"/>
  <c r="G10" i="56"/>
  <c r="S12" i="51"/>
  <c r="T11" i="51"/>
  <c r="H12" i="51"/>
  <c r="I11" i="51"/>
  <c r="G10" i="51"/>
  <c r="I10" i="51" s="1"/>
  <c r="M13" i="51"/>
  <c r="N12" i="51"/>
  <c r="G33" i="45"/>
  <c r="L10" i="55"/>
  <c r="S36" i="47"/>
  <c r="V36" i="47" s="1"/>
  <c r="L10" i="59"/>
  <c r="S64" i="47"/>
  <c r="V64" i="47" s="1"/>
  <c r="L10" i="61"/>
  <c r="S78" i="47"/>
  <c r="V78" i="47" s="1"/>
  <c r="L33" i="48"/>
  <c r="N33" i="48" s="1"/>
  <c r="G10" i="54"/>
  <c r="O29" i="47"/>
  <c r="G10" i="55"/>
  <c r="I10" i="55" s="1"/>
  <c r="R10" i="56"/>
  <c r="G10" i="60"/>
  <c r="G10" i="61"/>
  <c r="O78" i="47"/>
  <c r="G10" i="62"/>
  <c r="O85" i="47"/>
  <c r="G10" i="63"/>
  <c r="L10" i="63"/>
  <c r="L10" i="64"/>
  <c r="S99" i="47"/>
  <c r="V99" i="47" s="1"/>
  <c r="G33" i="44"/>
  <c r="I33" i="44" s="1"/>
  <c r="L33" i="44"/>
  <c r="N33" i="44" s="1"/>
  <c r="T120" i="47"/>
  <c r="L29" i="49"/>
  <c r="G10" i="53"/>
  <c r="O22" i="47"/>
  <c r="R33" i="45"/>
  <c r="R39" i="46"/>
  <c r="L10" i="51"/>
  <c r="N10" i="51" s="1"/>
  <c r="T8" i="47"/>
  <c r="R10" i="53"/>
  <c r="G10" i="65"/>
  <c r="O106" i="47"/>
  <c r="G10" i="64"/>
  <c r="O99" i="47"/>
  <c r="I33" i="48"/>
  <c r="L10" i="60"/>
  <c r="S71" i="47"/>
  <c r="V71" i="47" s="1"/>
  <c r="L10" i="62"/>
  <c r="S85" i="47"/>
  <c r="V85" i="47" s="1"/>
  <c r="H57" i="60" l="1"/>
  <c r="I55" i="60"/>
  <c r="H57" i="51"/>
  <c r="I55" i="51"/>
  <c r="H57" i="63"/>
  <c r="I55" i="63"/>
  <c r="H57" i="52"/>
  <c r="I55" i="52"/>
  <c r="H57" i="55"/>
  <c r="I55" i="55"/>
  <c r="H58" i="56"/>
  <c r="H61" i="56" s="1"/>
  <c r="I57" i="56"/>
  <c r="I54" i="53"/>
  <c r="H55" i="53"/>
  <c r="H57" i="54"/>
  <c r="I55" i="54"/>
  <c r="H58" i="58"/>
  <c r="H61" i="58" s="1"/>
  <c r="I57" i="58"/>
  <c r="H58" i="59"/>
  <c r="H61" i="59" s="1"/>
  <c r="I57" i="59"/>
  <c r="L34" i="44"/>
  <c r="N34" i="44" s="1"/>
  <c r="S121" i="47"/>
  <c r="V121" i="47" s="1"/>
  <c r="I73" i="46"/>
  <c r="O73" i="46" s="1"/>
  <c r="H74" i="46"/>
  <c r="M75" i="46"/>
  <c r="N74" i="46"/>
  <c r="S9" i="47"/>
  <c r="V9" i="47" s="1"/>
  <c r="V8" i="47"/>
  <c r="L11" i="51"/>
  <c r="N11" i="51" s="1"/>
  <c r="O11" i="51" s="1"/>
  <c r="O34" i="48"/>
  <c r="V537" i="66"/>
  <c r="N120" i="47"/>
  <c r="V120" i="47"/>
  <c r="I36" i="44"/>
  <c r="H37" i="44"/>
  <c r="N113" i="47"/>
  <c r="N36" i="44"/>
  <c r="M37" i="44"/>
  <c r="N471" i="66"/>
  <c r="Y471" i="66" s="1"/>
  <c r="Y40" i="66"/>
  <c r="V8" i="66"/>
  <c r="N13" i="51"/>
  <c r="M14" i="51"/>
  <c r="AC40" i="66"/>
  <c r="AC9" i="66"/>
  <c r="O33" i="44"/>
  <c r="AF9" i="66"/>
  <c r="AC41" i="66"/>
  <c r="M36" i="48"/>
  <c r="N35" i="48"/>
  <c r="O121" i="47"/>
  <c r="G34" i="44"/>
  <c r="I34" i="44" s="1"/>
  <c r="O34" i="44" s="1"/>
  <c r="S36" i="44"/>
  <c r="T35" i="44"/>
  <c r="H36" i="48"/>
  <c r="I35" i="48"/>
  <c r="O33" i="48"/>
  <c r="K121" i="47"/>
  <c r="N121" i="47" s="1"/>
  <c r="R34" i="44"/>
  <c r="T34" i="44" s="1"/>
  <c r="S35" i="48"/>
  <c r="T34" i="48"/>
  <c r="K114" i="47"/>
  <c r="N114" i="47" s="1"/>
  <c r="R40" i="46"/>
  <c r="O35" i="44"/>
  <c r="K107" i="47"/>
  <c r="R11" i="65"/>
  <c r="G11" i="65"/>
  <c r="O107" i="47"/>
  <c r="L11" i="65"/>
  <c r="S107" i="47"/>
  <c r="O10" i="51"/>
  <c r="H13" i="51"/>
  <c r="I12" i="51"/>
  <c r="O12" i="51" s="1"/>
  <c r="S13" i="51"/>
  <c r="T12" i="51"/>
  <c r="Q36" i="46"/>
  <c r="I61" i="59" l="1"/>
  <c r="H67" i="59"/>
  <c r="I67" i="59" s="1"/>
  <c r="I61" i="58"/>
  <c r="H67" i="58"/>
  <c r="I67" i="58" s="1"/>
  <c r="I61" i="56"/>
  <c r="H67" i="56"/>
  <c r="I67" i="56" s="1"/>
  <c r="H58" i="60"/>
  <c r="H61" i="60" s="1"/>
  <c r="I57" i="60"/>
  <c r="H58" i="51"/>
  <c r="H61" i="51" s="1"/>
  <c r="I57" i="51"/>
  <c r="H58" i="63"/>
  <c r="H61" i="63" s="1"/>
  <c r="I57" i="63"/>
  <c r="H58" i="52"/>
  <c r="H61" i="52" s="1"/>
  <c r="I57" i="52"/>
  <c r="H58" i="55"/>
  <c r="H61" i="55" s="1"/>
  <c r="I57" i="55"/>
  <c r="H60" i="56"/>
  <c r="H66" i="56" s="1"/>
  <c r="I66" i="56" s="1"/>
  <c r="H59" i="56"/>
  <c r="I58" i="56"/>
  <c r="H57" i="53"/>
  <c r="I55" i="53"/>
  <c r="H58" i="54"/>
  <c r="H61" i="54" s="1"/>
  <c r="I57" i="54"/>
  <c r="H60" i="58"/>
  <c r="H66" i="58" s="1"/>
  <c r="I66" i="58" s="1"/>
  <c r="H59" i="58"/>
  <c r="I58" i="58"/>
  <c r="H60" i="59"/>
  <c r="H66" i="59" s="1"/>
  <c r="I66" i="59" s="1"/>
  <c r="H59" i="59"/>
  <c r="I58" i="59"/>
  <c r="M76" i="46"/>
  <c r="N75" i="46"/>
  <c r="I74" i="46"/>
  <c r="O74" i="46" s="1"/>
  <c r="H75" i="46"/>
  <c r="O36" i="44"/>
  <c r="AA9" i="47"/>
  <c r="I13" i="51"/>
  <c r="O13" i="51" s="1"/>
  <c r="H14" i="51"/>
  <c r="I36" i="48"/>
  <c r="H37" i="48"/>
  <c r="M15" i="51"/>
  <c r="N14" i="51"/>
  <c r="T13" i="51"/>
  <c r="S14" i="51"/>
  <c r="T36" i="44"/>
  <c r="S37" i="44"/>
  <c r="H38" i="44"/>
  <c r="I37" i="44"/>
  <c r="N36" i="48"/>
  <c r="M37" i="48"/>
  <c r="M38" i="44"/>
  <c r="N37" i="44"/>
  <c r="S36" i="48"/>
  <c r="T35" i="48"/>
  <c r="O35" i="48"/>
  <c r="L141" i="47"/>
  <c r="P141" i="47"/>
  <c r="T141" i="47"/>
  <c r="E70" i="47"/>
  <c r="E71" i="47" s="1"/>
  <c r="E72" i="47" s="1"/>
  <c r="E73" i="47" s="1"/>
  <c r="E74" i="47" s="1"/>
  <c r="E75" i="47" s="1"/>
  <c r="L42" i="47"/>
  <c r="I61" i="63" l="1"/>
  <c r="H67" i="63"/>
  <c r="I67" i="63" s="1"/>
  <c r="I61" i="60"/>
  <c r="H67" i="60"/>
  <c r="I67" i="60" s="1"/>
  <c r="I61" i="55"/>
  <c r="H67" i="55"/>
  <c r="I67" i="55" s="1"/>
  <c r="I61" i="54"/>
  <c r="H67" i="54"/>
  <c r="I67" i="54" s="1"/>
  <c r="I61" i="52"/>
  <c r="H67" i="52"/>
  <c r="I67" i="52" s="1"/>
  <c r="I61" i="51"/>
  <c r="H67" i="51"/>
  <c r="I67" i="51" s="1"/>
  <c r="H63" i="59"/>
  <c r="I63" i="59" s="1"/>
  <c r="H64" i="59"/>
  <c r="I64" i="59" s="1"/>
  <c r="H63" i="58"/>
  <c r="I63" i="58" s="1"/>
  <c r="H64" i="58"/>
  <c r="I64" i="58" s="1"/>
  <c r="H63" i="56"/>
  <c r="I63" i="56" s="1"/>
  <c r="H64" i="56"/>
  <c r="I64" i="56" s="1"/>
  <c r="I60" i="59"/>
  <c r="H65" i="59"/>
  <c r="I65" i="59" s="1"/>
  <c r="I60" i="58"/>
  <c r="H65" i="58"/>
  <c r="I65" i="58" s="1"/>
  <c r="I60" i="56"/>
  <c r="H65" i="56"/>
  <c r="I65" i="56" s="1"/>
  <c r="H60" i="60"/>
  <c r="H66" i="60" s="1"/>
  <c r="I66" i="60" s="1"/>
  <c r="H59" i="60"/>
  <c r="I58" i="60"/>
  <c r="H60" i="51"/>
  <c r="H66" i="51" s="1"/>
  <c r="I66" i="51" s="1"/>
  <c r="H59" i="51"/>
  <c r="I58" i="51"/>
  <c r="H60" i="63"/>
  <c r="H66" i="63" s="1"/>
  <c r="I66" i="63" s="1"/>
  <c r="H59" i="63"/>
  <c r="I58" i="63"/>
  <c r="H60" i="52"/>
  <c r="H66" i="52" s="1"/>
  <c r="I66" i="52" s="1"/>
  <c r="H59" i="52"/>
  <c r="I58" i="52"/>
  <c r="H60" i="55"/>
  <c r="H66" i="55" s="1"/>
  <c r="I66" i="55" s="1"/>
  <c r="H59" i="55"/>
  <c r="I58" i="55"/>
  <c r="H62" i="56"/>
  <c r="I62" i="56" s="1"/>
  <c r="I59" i="56"/>
  <c r="H58" i="53"/>
  <c r="H61" i="53" s="1"/>
  <c r="I57" i="53"/>
  <c r="H60" i="54"/>
  <c r="H66" i="54" s="1"/>
  <c r="I66" i="54" s="1"/>
  <c r="H59" i="54"/>
  <c r="I58" i="54"/>
  <c r="H62" i="58"/>
  <c r="I62" i="58" s="1"/>
  <c r="I59" i="58"/>
  <c r="H62" i="59"/>
  <c r="I62" i="59" s="1"/>
  <c r="I59" i="59"/>
  <c r="I68" i="59" s="1"/>
  <c r="O37" i="44"/>
  <c r="I75" i="46"/>
  <c r="O75" i="46" s="1"/>
  <c r="H76" i="46"/>
  <c r="M77" i="46"/>
  <c r="N76" i="46"/>
  <c r="N38" i="44"/>
  <c r="M39" i="44"/>
  <c r="I38" i="44"/>
  <c r="H39" i="44"/>
  <c r="O36" i="48"/>
  <c r="S15" i="51"/>
  <c r="T14" i="51"/>
  <c r="H38" i="48"/>
  <c r="I37" i="48"/>
  <c r="M38" i="48"/>
  <c r="N37" i="48"/>
  <c r="S38" i="44"/>
  <c r="T37" i="44"/>
  <c r="H15" i="51"/>
  <c r="I14" i="51"/>
  <c r="O14" i="51" s="1"/>
  <c r="T36" i="48"/>
  <c r="S37" i="48"/>
  <c r="M16" i="51"/>
  <c r="N15" i="51"/>
  <c r="Q140" i="47"/>
  <c r="Q141" i="47" s="1"/>
  <c r="C140" i="47"/>
  <c r="C141" i="47" s="1"/>
  <c r="C142" i="47" s="1"/>
  <c r="C143" i="47" s="1"/>
  <c r="C144" i="47" s="1"/>
  <c r="C145" i="47" s="1"/>
  <c r="C146" i="47" s="1"/>
  <c r="D140" i="47"/>
  <c r="D141" i="47" s="1"/>
  <c r="D142" i="47" s="1"/>
  <c r="D143" i="47" s="1"/>
  <c r="D144" i="47" s="1"/>
  <c r="D145" i="47" s="1"/>
  <c r="D146" i="47" s="1"/>
  <c r="E140" i="47"/>
  <c r="E141" i="47" s="1"/>
  <c r="E142" i="47" s="1"/>
  <c r="E143" i="47" s="1"/>
  <c r="E144" i="47" s="1"/>
  <c r="E145" i="47" s="1"/>
  <c r="E146" i="47" s="1"/>
  <c r="F140" i="47"/>
  <c r="F141" i="47" s="1"/>
  <c r="F142" i="47" s="1"/>
  <c r="F143" i="47" s="1"/>
  <c r="F144" i="47" s="1"/>
  <c r="F145" i="47" s="1"/>
  <c r="F146" i="47" s="1"/>
  <c r="G140" i="47"/>
  <c r="G141" i="47" s="1"/>
  <c r="G142" i="47" s="1"/>
  <c r="G143" i="47" s="1"/>
  <c r="G144" i="47" s="1"/>
  <c r="G145" i="47" s="1"/>
  <c r="G146" i="47" s="1"/>
  <c r="H140" i="47"/>
  <c r="I140" i="47"/>
  <c r="I141" i="47" s="1"/>
  <c r="I142" i="47" s="1"/>
  <c r="I143" i="47" s="1"/>
  <c r="I144" i="47" s="1"/>
  <c r="I145" i="47" s="1"/>
  <c r="I146" i="47" s="1"/>
  <c r="J140" i="47"/>
  <c r="J141" i="47" s="1"/>
  <c r="J142" i="47" s="1"/>
  <c r="J143" i="47" s="1"/>
  <c r="J144" i="47" s="1"/>
  <c r="J145" i="47" s="1"/>
  <c r="J146" i="47" s="1"/>
  <c r="B140" i="47"/>
  <c r="B141" i="47" s="1"/>
  <c r="B142" i="47" s="1"/>
  <c r="B143" i="47" s="1"/>
  <c r="B144" i="47" s="1"/>
  <c r="B145" i="47" s="1"/>
  <c r="B146" i="47" s="1"/>
  <c r="Q133" i="47"/>
  <c r="Q134" i="47" s="1"/>
  <c r="C133" i="47"/>
  <c r="C134" i="47" s="1"/>
  <c r="C135" i="47" s="1"/>
  <c r="C136" i="47" s="1"/>
  <c r="C137" i="47" s="1"/>
  <c r="C138" i="47" s="1"/>
  <c r="D133" i="47"/>
  <c r="D134" i="47" s="1"/>
  <c r="D135" i="47" s="1"/>
  <c r="D136" i="47" s="1"/>
  <c r="D137" i="47" s="1"/>
  <c r="D138" i="47" s="1"/>
  <c r="E133" i="47"/>
  <c r="E134" i="47" s="1"/>
  <c r="E135" i="47" s="1"/>
  <c r="E136" i="47" s="1"/>
  <c r="E137" i="47" s="1"/>
  <c r="E138" i="47" s="1"/>
  <c r="F133" i="47"/>
  <c r="F134" i="47" s="1"/>
  <c r="F135" i="47" s="1"/>
  <c r="F136" i="47" s="1"/>
  <c r="F137" i="47" s="1"/>
  <c r="F138" i="47" s="1"/>
  <c r="G133" i="47"/>
  <c r="G134" i="47" s="1"/>
  <c r="G135" i="47" s="1"/>
  <c r="G136" i="47" s="1"/>
  <c r="G137" i="47" s="1"/>
  <c r="G138" i="47" s="1"/>
  <c r="H133" i="47"/>
  <c r="H134" i="47" s="1"/>
  <c r="H135" i="47" s="1"/>
  <c r="H136" i="47" s="1"/>
  <c r="H137" i="47" s="1"/>
  <c r="H138" i="47" s="1"/>
  <c r="I133" i="47"/>
  <c r="I134" i="47" s="1"/>
  <c r="I135" i="47" s="1"/>
  <c r="I136" i="47" s="1"/>
  <c r="I137" i="47" s="1"/>
  <c r="I138" i="47" s="1"/>
  <c r="J133" i="47"/>
  <c r="J134" i="47" s="1"/>
  <c r="J135" i="47" s="1"/>
  <c r="J136" i="47" s="1"/>
  <c r="J137" i="47" s="1"/>
  <c r="J138" i="47" s="1"/>
  <c r="B133" i="47"/>
  <c r="B134" i="47" s="1"/>
  <c r="B135" i="47" s="1"/>
  <c r="B136" i="47" s="1"/>
  <c r="B137" i="47" s="1"/>
  <c r="B138" i="47" s="1"/>
  <c r="Q126" i="47"/>
  <c r="Q127" i="47" s="1"/>
  <c r="C126" i="47"/>
  <c r="C127" i="47" s="1"/>
  <c r="C128" i="47" s="1"/>
  <c r="C129" i="47" s="1"/>
  <c r="C130" i="47" s="1"/>
  <c r="C131" i="47" s="1"/>
  <c r="D126" i="47"/>
  <c r="D127" i="47" s="1"/>
  <c r="D128" i="47" s="1"/>
  <c r="D129" i="47" s="1"/>
  <c r="D130" i="47" s="1"/>
  <c r="D131" i="47" s="1"/>
  <c r="E126" i="47"/>
  <c r="E127" i="47" s="1"/>
  <c r="E128" i="47" s="1"/>
  <c r="E129" i="47" s="1"/>
  <c r="E130" i="47" s="1"/>
  <c r="E131" i="47" s="1"/>
  <c r="F126" i="47"/>
  <c r="F127" i="47" s="1"/>
  <c r="F128" i="47" s="1"/>
  <c r="F129" i="47" s="1"/>
  <c r="F130" i="47" s="1"/>
  <c r="F131" i="47" s="1"/>
  <c r="G126" i="47"/>
  <c r="G127" i="47" s="1"/>
  <c r="G128" i="47" s="1"/>
  <c r="G129" i="47" s="1"/>
  <c r="G130" i="47" s="1"/>
  <c r="G131" i="47" s="1"/>
  <c r="H126" i="47"/>
  <c r="H127" i="47" s="1"/>
  <c r="H128" i="47" s="1"/>
  <c r="H129" i="47" s="1"/>
  <c r="H130" i="47" s="1"/>
  <c r="H131" i="47" s="1"/>
  <c r="I126" i="47"/>
  <c r="I127" i="47" s="1"/>
  <c r="I128" i="47" s="1"/>
  <c r="I129" i="47" s="1"/>
  <c r="I130" i="47" s="1"/>
  <c r="I131" i="47" s="1"/>
  <c r="J126" i="47"/>
  <c r="J127" i="47" s="1"/>
  <c r="J128" i="47" s="1"/>
  <c r="J129" i="47" s="1"/>
  <c r="J130" i="47" s="1"/>
  <c r="J131" i="47" s="1"/>
  <c r="B126" i="47"/>
  <c r="B127" i="47" s="1"/>
  <c r="B128" i="47" s="1"/>
  <c r="B129" i="47" s="1"/>
  <c r="B130" i="47" s="1"/>
  <c r="B131" i="47" s="1"/>
  <c r="Q119" i="47"/>
  <c r="Q120" i="47" s="1"/>
  <c r="C119" i="47"/>
  <c r="C120" i="47" s="1"/>
  <c r="C121" i="47" s="1"/>
  <c r="C122" i="47" s="1"/>
  <c r="C123" i="47" s="1"/>
  <c r="C124" i="47" s="1"/>
  <c r="D119" i="47"/>
  <c r="D120" i="47" s="1"/>
  <c r="D121" i="47" s="1"/>
  <c r="D122" i="47" s="1"/>
  <c r="D123" i="47" s="1"/>
  <c r="D124" i="47" s="1"/>
  <c r="E119" i="47"/>
  <c r="E120" i="47" s="1"/>
  <c r="E121" i="47" s="1"/>
  <c r="E122" i="47" s="1"/>
  <c r="E123" i="47" s="1"/>
  <c r="E124" i="47" s="1"/>
  <c r="F119" i="47"/>
  <c r="F120" i="47" s="1"/>
  <c r="F121" i="47" s="1"/>
  <c r="F122" i="47" s="1"/>
  <c r="F123" i="47" s="1"/>
  <c r="F124" i="47" s="1"/>
  <c r="G119" i="47"/>
  <c r="G120" i="47" s="1"/>
  <c r="G121" i="47" s="1"/>
  <c r="G122" i="47" s="1"/>
  <c r="G123" i="47" s="1"/>
  <c r="G124" i="47" s="1"/>
  <c r="H119" i="47"/>
  <c r="H120" i="47" s="1"/>
  <c r="H121" i="47" s="1"/>
  <c r="H122" i="47" s="1"/>
  <c r="H123" i="47" s="1"/>
  <c r="H124" i="47" s="1"/>
  <c r="I119" i="47"/>
  <c r="I120" i="47" s="1"/>
  <c r="J119" i="47"/>
  <c r="J120" i="47" s="1"/>
  <c r="J121" i="47" s="1"/>
  <c r="J122" i="47" s="1"/>
  <c r="J123" i="47" s="1"/>
  <c r="J124" i="47" s="1"/>
  <c r="B119" i="47"/>
  <c r="B120" i="47" s="1"/>
  <c r="B121" i="47" s="1"/>
  <c r="B122" i="47" s="1"/>
  <c r="B123" i="47" s="1"/>
  <c r="B124" i="47" s="1"/>
  <c r="Q112" i="47"/>
  <c r="Q117" i="47" s="1"/>
  <c r="R117" i="47" s="1"/>
  <c r="J112" i="47"/>
  <c r="J113" i="47" s="1"/>
  <c r="J114" i="47" s="1"/>
  <c r="J115" i="47" s="1"/>
  <c r="J116" i="47" s="1"/>
  <c r="J117" i="47" s="1"/>
  <c r="C112" i="47"/>
  <c r="C113" i="47" s="1"/>
  <c r="C114" i="47" s="1"/>
  <c r="C115" i="47" s="1"/>
  <c r="C116" i="47" s="1"/>
  <c r="C117" i="47" s="1"/>
  <c r="D112" i="47"/>
  <c r="D113" i="47" s="1"/>
  <c r="D114" i="47" s="1"/>
  <c r="D115" i="47" s="1"/>
  <c r="D116" i="47" s="1"/>
  <c r="D117" i="47" s="1"/>
  <c r="E112" i="47"/>
  <c r="E113" i="47" s="1"/>
  <c r="E114" i="47" s="1"/>
  <c r="E115" i="47" s="1"/>
  <c r="E116" i="47" s="1"/>
  <c r="E117" i="47" s="1"/>
  <c r="F112" i="47"/>
  <c r="F113" i="47" s="1"/>
  <c r="F114" i="47" s="1"/>
  <c r="F115" i="47" s="1"/>
  <c r="F116" i="47" s="1"/>
  <c r="F117" i="47" s="1"/>
  <c r="G112" i="47"/>
  <c r="G113" i="47" s="1"/>
  <c r="G114" i="47" s="1"/>
  <c r="G115" i="47" s="1"/>
  <c r="G116" i="47" s="1"/>
  <c r="G117" i="47" s="1"/>
  <c r="H112" i="47"/>
  <c r="H113" i="47" s="1"/>
  <c r="H114" i="47" s="1"/>
  <c r="H115" i="47" s="1"/>
  <c r="H116" i="47" s="1"/>
  <c r="H117" i="47" s="1"/>
  <c r="I112" i="47"/>
  <c r="I113" i="47" s="1"/>
  <c r="B112" i="47"/>
  <c r="B113" i="47" s="1"/>
  <c r="B114" i="47" s="1"/>
  <c r="B115" i="47" s="1"/>
  <c r="B116" i="47" s="1"/>
  <c r="B117" i="47" s="1"/>
  <c r="Q105" i="47"/>
  <c r="Q106" i="47" s="1"/>
  <c r="C105" i="47"/>
  <c r="C106" i="47" s="1"/>
  <c r="C107" i="47" s="1"/>
  <c r="C108" i="47" s="1"/>
  <c r="C109" i="47" s="1"/>
  <c r="C110" i="47" s="1"/>
  <c r="D105" i="47"/>
  <c r="D106" i="47" s="1"/>
  <c r="D107" i="47" s="1"/>
  <c r="D108" i="47" s="1"/>
  <c r="D109" i="47" s="1"/>
  <c r="D110" i="47" s="1"/>
  <c r="E105" i="47"/>
  <c r="E106" i="47" s="1"/>
  <c r="E107" i="47" s="1"/>
  <c r="E108" i="47" s="1"/>
  <c r="E109" i="47" s="1"/>
  <c r="E110" i="47" s="1"/>
  <c r="F105" i="47"/>
  <c r="F106" i="47" s="1"/>
  <c r="F107" i="47" s="1"/>
  <c r="F108" i="47" s="1"/>
  <c r="F109" i="47" s="1"/>
  <c r="F110" i="47" s="1"/>
  <c r="G105" i="47"/>
  <c r="G106" i="47" s="1"/>
  <c r="G107" i="47" s="1"/>
  <c r="G108" i="47" s="1"/>
  <c r="G109" i="47" s="1"/>
  <c r="G110" i="47" s="1"/>
  <c r="H105" i="47"/>
  <c r="H106" i="47" s="1"/>
  <c r="H107" i="47" s="1"/>
  <c r="H108" i="47" s="1"/>
  <c r="H109" i="47" s="1"/>
  <c r="H110" i="47" s="1"/>
  <c r="I105" i="47"/>
  <c r="I106" i="47" s="1"/>
  <c r="I107" i="47" s="1"/>
  <c r="I108" i="47" s="1"/>
  <c r="I109" i="47" s="1"/>
  <c r="I110" i="47" s="1"/>
  <c r="J105" i="47"/>
  <c r="J106" i="47" s="1"/>
  <c r="J107" i="47" s="1"/>
  <c r="J108" i="47" s="1"/>
  <c r="J109" i="47" s="1"/>
  <c r="J110" i="47" s="1"/>
  <c r="B105" i="47"/>
  <c r="B106" i="47" s="1"/>
  <c r="B107" i="47" s="1"/>
  <c r="B108" i="47" s="1"/>
  <c r="B109" i="47" s="1"/>
  <c r="B110" i="47" s="1"/>
  <c r="Q98" i="47"/>
  <c r="Q99" i="47" s="1"/>
  <c r="C98" i="47"/>
  <c r="C99" i="47" s="1"/>
  <c r="C100" i="47" s="1"/>
  <c r="C101" i="47" s="1"/>
  <c r="C102" i="47" s="1"/>
  <c r="C103" i="47" s="1"/>
  <c r="D98" i="47"/>
  <c r="D99" i="47" s="1"/>
  <c r="D100" i="47" s="1"/>
  <c r="D101" i="47" s="1"/>
  <c r="D102" i="47" s="1"/>
  <c r="D103" i="47" s="1"/>
  <c r="E98" i="47"/>
  <c r="E99" i="47" s="1"/>
  <c r="E100" i="47" s="1"/>
  <c r="E101" i="47" s="1"/>
  <c r="E102" i="47" s="1"/>
  <c r="E103" i="47" s="1"/>
  <c r="F98" i="47"/>
  <c r="F99" i="47" s="1"/>
  <c r="F100" i="47" s="1"/>
  <c r="F101" i="47" s="1"/>
  <c r="F102" i="47" s="1"/>
  <c r="F103" i="47" s="1"/>
  <c r="G98" i="47"/>
  <c r="G99" i="47" s="1"/>
  <c r="G100" i="47" s="1"/>
  <c r="G101" i="47" s="1"/>
  <c r="G102" i="47" s="1"/>
  <c r="G103" i="47" s="1"/>
  <c r="H98" i="47"/>
  <c r="H99" i="47" s="1"/>
  <c r="H100" i="47" s="1"/>
  <c r="H101" i="47" s="1"/>
  <c r="H102" i="47" s="1"/>
  <c r="H103" i="47" s="1"/>
  <c r="I98" i="47"/>
  <c r="I99" i="47" s="1"/>
  <c r="J98" i="47"/>
  <c r="J99" i="47" s="1"/>
  <c r="J100" i="47" s="1"/>
  <c r="J101" i="47" s="1"/>
  <c r="J102" i="47" s="1"/>
  <c r="J103" i="47" s="1"/>
  <c r="B98" i="47"/>
  <c r="B99" i="47" s="1"/>
  <c r="B100" i="47" s="1"/>
  <c r="B101" i="47" s="1"/>
  <c r="B102" i="47" s="1"/>
  <c r="B103" i="47" s="1"/>
  <c r="Q91" i="47"/>
  <c r="Q92" i="47" s="1"/>
  <c r="C91" i="47"/>
  <c r="C92" i="47" s="1"/>
  <c r="C93" i="47" s="1"/>
  <c r="C94" i="47" s="1"/>
  <c r="C95" i="47" s="1"/>
  <c r="C96" i="47" s="1"/>
  <c r="D91" i="47"/>
  <c r="D92" i="47" s="1"/>
  <c r="D93" i="47" s="1"/>
  <c r="D94" i="47" s="1"/>
  <c r="D95" i="47" s="1"/>
  <c r="D96" i="47" s="1"/>
  <c r="E91" i="47"/>
  <c r="E92" i="47" s="1"/>
  <c r="E93" i="47" s="1"/>
  <c r="E94" i="47" s="1"/>
  <c r="E95" i="47" s="1"/>
  <c r="E96" i="47" s="1"/>
  <c r="F91" i="47"/>
  <c r="F92" i="47" s="1"/>
  <c r="F93" i="47" s="1"/>
  <c r="F94" i="47" s="1"/>
  <c r="F95" i="47" s="1"/>
  <c r="F96" i="47" s="1"/>
  <c r="G91" i="47"/>
  <c r="G92" i="47" s="1"/>
  <c r="G93" i="47" s="1"/>
  <c r="G94" i="47" s="1"/>
  <c r="G95" i="47" s="1"/>
  <c r="G96" i="47" s="1"/>
  <c r="H91" i="47"/>
  <c r="H92" i="47" s="1"/>
  <c r="H93" i="47" s="1"/>
  <c r="H94" i="47" s="1"/>
  <c r="H95" i="47" s="1"/>
  <c r="H96" i="47" s="1"/>
  <c r="I91" i="47"/>
  <c r="I92" i="47" s="1"/>
  <c r="J91" i="47"/>
  <c r="J92" i="47" s="1"/>
  <c r="J93" i="47" s="1"/>
  <c r="J94" i="47" s="1"/>
  <c r="J95" i="47" s="1"/>
  <c r="J96" i="47" s="1"/>
  <c r="B91" i="47"/>
  <c r="B92" i="47" s="1"/>
  <c r="B93" i="47" s="1"/>
  <c r="B94" i="47" s="1"/>
  <c r="B95" i="47" s="1"/>
  <c r="B96" i="47" s="1"/>
  <c r="Q84" i="47"/>
  <c r="Q85" i="47" s="1"/>
  <c r="C84" i="47"/>
  <c r="C85" i="47" s="1"/>
  <c r="C86" i="47" s="1"/>
  <c r="C87" i="47" s="1"/>
  <c r="C88" i="47" s="1"/>
  <c r="C89" i="47" s="1"/>
  <c r="D84" i="47"/>
  <c r="D85" i="47" s="1"/>
  <c r="D86" i="47" s="1"/>
  <c r="D87" i="47" s="1"/>
  <c r="D88" i="47" s="1"/>
  <c r="D89" i="47" s="1"/>
  <c r="E84" i="47"/>
  <c r="E85" i="47" s="1"/>
  <c r="E86" i="47" s="1"/>
  <c r="E87" i="47" s="1"/>
  <c r="E88" i="47" s="1"/>
  <c r="E89" i="47" s="1"/>
  <c r="F84" i="47"/>
  <c r="F85" i="47" s="1"/>
  <c r="F86" i="47" s="1"/>
  <c r="F87" i="47" s="1"/>
  <c r="F88" i="47" s="1"/>
  <c r="F89" i="47" s="1"/>
  <c r="G84" i="47"/>
  <c r="G85" i="47" s="1"/>
  <c r="G86" i="47" s="1"/>
  <c r="G87" i="47" s="1"/>
  <c r="G88" i="47" s="1"/>
  <c r="G89" i="47" s="1"/>
  <c r="H84" i="47"/>
  <c r="H85" i="47" s="1"/>
  <c r="H86" i="47" s="1"/>
  <c r="H87" i="47" s="1"/>
  <c r="H88" i="47" s="1"/>
  <c r="H89" i="47" s="1"/>
  <c r="I84" i="47"/>
  <c r="I85" i="47" s="1"/>
  <c r="J84" i="47"/>
  <c r="J85" i="47" s="1"/>
  <c r="J86" i="47" s="1"/>
  <c r="J87" i="47" s="1"/>
  <c r="J88" i="47" s="1"/>
  <c r="J89" i="47" s="1"/>
  <c r="B84" i="47"/>
  <c r="B85" i="47" s="1"/>
  <c r="B86" i="47" s="1"/>
  <c r="B87" i="47" s="1"/>
  <c r="B88" i="47" s="1"/>
  <c r="B89" i="47" s="1"/>
  <c r="Q77" i="47"/>
  <c r="Q78" i="47" s="1"/>
  <c r="C77" i="47"/>
  <c r="C78" i="47" s="1"/>
  <c r="C79" i="47" s="1"/>
  <c r="C80" i="47" s="1"/>
  <c r="C81" i="47" s="1"/>
  <c r="C82" i="47" s="1"/>
  <c r="D77" i="47"/>
  <c r="D78" i="47" s="1"/>
  <c r="D79" i="47" s="1"/>
  <c r="D80" i="47" s="1"/>
  <c r="D81" i="47" s="1"/>
  <c r="D82" i="47" s="1"/>
  <c r="E77" i="47"/>
  <c r="E78" i="47" s="1"/>
  <c r="E79" i="47" s="1"/>
  <c r="E80" i="47" s="1"/>
  <c r="E81" i="47" s="1"/>
  <c r="E82" i="47" s="1"/>
  <c r="F77" i="47"/>
  <c r="F78" i="47" s="1"/>
  <c r="F79" i="47" s="1"/>
  <c r="F80" i="47" s="1"/>
  <c r="F81" i="47" s="1"/>
  <c r="F82" i="47" s="1"/>
  <c r="G77" i="47"/>
  <c r="G78" i="47" s="1"/>
  <c r="G79" i="47" s="1"/>
  <c r="G80" i="47" s="1"/>
  <c r="G81" i="47" s="1"/>
  <c r="G82" i="47" s="1"/>
  <c r="H77" i="47"/>
  <c r="H78" i="47" s="1"/>
  <c r="H79" i="47" s="1"/>
  <c r="H80" i="47" s="1"/>
  <c r="H81" i="47" s="1"/>
  <c r="H82" i="47" s="1"/>
  <c r="I77" i="47"/>
  <c r="I78" i="47" s="1"/>
  <c r="J77" i="47"/>
  <c r="J78" i="47" s="1"/>
  <c r="J79" i="47" s="1"/>
  <c r="J80" i="47" s="1"/>
  <c r="J81" i="47" s="1"/>
  <c r="J82" i="47" s="1"/>
  <c r="B77" i="47"/>
  <c r="B78" i="47" s="1"/>
  <c r="B79" i="47" s="1"/>
  <c r="B80" i="47" s="1"/>
  <c r="B81" i="47" s="1"/>
  <c r="B82" i="47" s="1"/>
  <c r="Q70" i="47"/>
  <c r="Q71" i="47" s="1"/>
  <c r="J70" i="47"/>
  <c r="J71" i="47" s="1"/>
  <c r="J72" i="47" s="1"/>
  <c r="J73" i="47" s="1"/>
  <c r="J74" i="47" s="1"/>
  <c r="J75" i="47" s="1"/>
  <c r="I70" i="47"/>
  <c r="I71" i="47" s="1"/>
  <c r="F70" i="47"/>
  <c r="F71" i="47" s="1"/>
  <c r="F72" i="47" s="1"/>
  <c r="F73" i="47" s="1"/>
  <c r="F74" i="47" s="1"/>
  <c r="F75" i="47" s="1"/>
  <c r="C70" i="47"/>
  <c r="C71" i="47" s="1"/>
  <c r="C72" i="47" s="1"/>
  <c r="C73" i="47" s="1"/>
  <c r="C74" i="47" s="1"/>
  <c r="C75" i="47" s="1"/>
  <c r="Q64" i="47"/>
  <c r="J64" i="47"/>
  <c r="J65" i="47" s="1"/>
  <c r="J66" i="47" s="1"/>
  <c r="J67" i="47" s="1"/>
  <c r="J68" i="47" s="1"/>
  <c r="I64" i="47"/>
  <c r="F64" i="47"/>
  <c r="F65" i="47" s="1"/>
  <c r="F66" i="47" s="1"/>
  <c r="F67" i="47" s="1"/>
  <c r="F68" i="47" s="1"/>
  <c r="E64" i="47"/>
  <c r="E65" i="47" s="1"/>
  <c r="E66" i="47" s="1"/>
  <c r="E67" i="47" s="1"/>
  <c r="E68" i="47" s="1"/>
  <c r="C64" i="47"/>
  <c r="C65" i="47" s="1"/>
  <c r="C66" i="47" s="1"/>
  <c r="C67" i="47" s="1"/>
  <c r="C68" i="47" s="1"/>
  <c r="Q56" i="47"/>
  <c r="Q49" i="47"/>
  <c r="Q50" i="47" s="1"/>
  <c r="Q42" i="47"/>
  <c r="Q43" i="47" s="1"/>
  <c r="Q35" i="47"/>
  <c r="Q36" i="47" s="1"/>
  <c r="J56" i="47"/>
  <c r="J57" i="47" s="1"/>
  <c r="J58" i="47" s="1"/>
  <c r="J59" i="47" s="1"/>
  <c r="J60" i="47" s="1"/>
  <c r="J61" i="47" s="1"/>
  <c r="I56" i="47"/>
  <c r="I57" i="47" s="1"/>
  <c r="F56" i="47"/>
  <c r="F57" i="47" s="1"/>
  <c r="F58" i="47" s="1"/>
  <c r="F59" i="47" s="1"/>
  <c r="F60" i="47" s="1"/>
  <c r="F61" i="47" s="1"/>
  <c r="E56" i="47"/>
  <c r="C56" i="47"/>
  <c r="J49" i="47"/>
  <c r="J50" i="47" s="1"/>
  <c r="J51" i="47" s="1"/>
  <c r="J52" i="47" s="1"/>
  <c r="J53" i="47" s="1"/>
  <c r="J54" i="47" s="1"/>
  <c r="I49" i="47"/>
  <c r="I50" i="47" s="1"/>
  <c r="I51" i="47" s="1"/>
  <c r="I52" i="47" s="1"/>
  <c r="I53" i="47" s="1"/>
  <c r="I54" i="47" s="1"/>
  <c r="F49" i="47"/>
  <c r="F50" i="47" s="1"/>
  <c r="F51" i="47" s="1"/>
  <c r="F52" i="47" s="1"/>
  <c r="F53" i="47" s="1"/>
  <c r="F54" i="47" s="1"/>
  <c r="E49" i="47"/>
  <c r="E50" i="47" s="1"/>
  <c r="E51" i="47" s="1"/>
  <c r="E52" i="47" s="1"/>
  <c r="E53" i="47" s="1"/>
  <c r="E54" i="47" s="1"/>
  <c r="C49" i="47"/>
  <c r="C50" i="47" s="1"/>
  <c r="C51" i="47" s="1"/>
  <c r="C52" i="47" s="1"/>
  <c r="C53" i="47" s="1"/>
  <c r="C54" i="47" s="1"/>
  <c r="J42" i="47"/>
  <c r="J43" i="47" s="1"/>
  <c r="J44" i="47" s="1"/>
  <c r="J45" i="47" s="1"/>
  <c r="J46" i="47" s="1"/>
  <c r="J47" i="47" s="1"/>
  <c r="I42" i="47"/>
  <c r="I43" i="47" s="1"/>
  <c r="F42" i="47"/>
  <c r="F43" i="47" s="1"/>
  <c r="F44" i="47" s="1"/>
  <c r="F45" i="47" s="1"/>
  <c r="F46" i="47" s="1"/>
  <c r="F47" i="47" s="1"/>
  <c r="E42" i="47"/>
  <c r="E43" i="47" s="1"/>
  <c r="E44" i="47" s="1"/>
  <c r="E45" i="47" s="1"/>
  <c r="E46" i="47" s="1"/>
  <c r="E47" i="47" s="1"/>
  <c r="C42" i="47"/>
  <c r="C43" i="47" s="1"/>
  <c r="C44" i="47" s="1"/>
  <c r="C45" i="47" s="1"/>
  <c r="C46" i="47" s="1"/>
  <c r="C47" i="47" s="1"/>
  <c r="J35" i="47"/>
  <c r="J36" i="47" s="1"/>
  <c r="J37" i="47" s="1"/>
  <c r="J38" i="47" s="1"/>
  <c r="J39" i="47" s="1"/>
  <c r="J40" i="47" s="1"/>
  <c r="I35" i="47"/>
  <c r="I36" i="47" s="1"/>
  <c r="F35" i="47"/>
  <c r="F36" i="47" s="1"/>
  <c r="F37" i="47" s="1"/>
  <c r="F38" i="47" s="1"/>
  <c r="F39" i="47" s="1"/>
  <c r="F40" i="47" s="1"/>
  <c r="E35" i="47"/>
  <c r="E36" i="47" s="1"/>
  <c r="E37" i="47" s="1"/>
  <c r="E38" i="47" s="1"/>
  <c r="E39" i="47" s="1"/>
  <c r="E40" i="47" s="1"/>
  <c r="C35" i="47"/>
  <c r="C36" i="47" s="1"/>
  <c r="C37" i="47" s="1"/>
  <c r="C38" i="47" s="1"/>
  <c r="C39" i="47" s="1"/>
  <c r="C40" i="47" s="1"/>
  <c r="C21" i="47"/>
  <c r="C22" i="47" s="1"/>
  <c r="C23" i="47" s="1"/>
  <c r="C24" i="47" s="1"/>
  <c r="C25" i="47" s="1"/>
  <c r="C26" i="47" s="1"/>
  <c r="C28" i="47"/>
  <c r="C29" i="47" s="1"/>
  <c r="C30" i="47" s="1"/>
  <c r="C31" i="47" s="1"/>
  <c r="C32" i="47" s="1"/>
  <c r="C33" i="47" s="1"/>
  <c r="E28" i="47"/>
  <c r="E29" i="47" s="1"/>
  <c r="E30" i="47" s="1"/>
  <c r="E31" i="47" s="1"/>
  <c r="E32" i="47" s="1"/>
  <c r="E33" i="47" s="1"/>
  <c r="F28" i="47"/>
  <c r="F29" i="47" s="1"/>
  <c r="F30" i="47" s="1"/>
  <c r="F31" i="47" s="1"/>
  <c r="F32" i="47" s="1"/>
  <c r="F33" i="47" s="1"/>
  <c r="I28" i="47"/>
  <c r="I29" i="47" s="1"/>
  <c r="J28" i="47"/>
  <c r="J29" i="47" s="1"/>
  <c r="J30" i="47" s="1"/>
  <c r="J31" i="47" s="1"/>
  <c r="J32" i="47" s="1"/>
  <c r="J33" i="47" s="1"/>
  <c r="Q28" i="47"/>
  <c r="Q29" i="47" s="1"/>
  <c r="Q21" i="47"/>
  <c r="Q22" i="47" s="1"/>
  <c r="E21" i="47"/>
  <c r="E22" i="47" s="1"/>
  <c r="E23" i="47" s="1"/>
  <c r="E24" i="47" s="1"/>
  <c r="E25" i="47" s="1"/>
  <c r="E26" i="47" s="1"/>
  <c r="F21" i="47"/>
  <c r="F22" i="47" s="1"/>
  <c r="F23" i="47" s="1"/>
  <c r="F24" i="47" s="1"/>
  <c r="F25" i="47" s="1"/>
  <c r="F26" i="47" s="1"/>
  <c r="J21" i="47"/>
  <c r="J22" i="47" s="1"/>
  <c r="J23" i="47" s="1"/>
  <c r="J24" i="47" s="1"/>
  <c r="J25" i="47" s="1"/>
  <c r="J26" i="47" s="1"/>
  <c r="I21" i="47"/>
  <c r="I22" i="47" s="1"/>
  <c r="Q7" i="47"/>
  <c r="Q8" i="47" s="1"/>
  <c r="Q16" i="47"/>
  <c r="C7" i="47"/>
  <c r="C8" i="47" s="1"/>
  <c r="C9" i="47" s="1"/>
  <c r="C10" i="47" s="1"/>
  <c r="C11" i="47" s="1"/>
  <c r="C12" i="47" s="1"/>
  <c r="C16" i="47"/>
  <c r="C18" i="47" s="1"/>
  <c r="E7" i="47"/>
  <c r="E8" i="47" s="1"/>
  <c r="E9" i="47" s="1"/>
  <c r="E10" i="47" s="1"/>
  <c r="E11" i="47" s="1"/>
  <c r="E12" i="47" s="1"/>
  <c r="F7" i="47"/>
  <c r="F8" i="47" s="1"/>
  <c r="F9" i="47" s="1"/>
  <c r="F10" i="47" s="1"/>
  <c r="F11" i="47" s="1"/>
  <c r="F12" i="47" s="1"/>
  <c r="I7" i="47"/>
  <c r="I8" i="47" s="1"/>
  <c r="J16" i="47"/>
  <c r="J18" i="47" s="1"/>
  <c r="J7" i="47"/>
  <c r="J8" i="47" s="1"/>
  <c r="J9" i="47" s="1"/>
  <c r="J10" i="47" s="1"/>
  <c r="J11" i="47" s="1"/>
  <c r="J12" i="47" s="1"/>
  <c r="E16" i="47"/>
  <c r="E18" i="47" s="1"/>
  <c r="F16" i="47"/>
  <c r="F18" i="47" s="1"/>
  <c r="I16" i="47"/>
  <c r="L140" i="47"/>
  <c r="P140" i="47"/>
  <c r="T140" i="47"/>
  <c r="L133" i="47"/>
  <c r="P133" i="47"/>
  <c r="T133" i="47"/>
  <c r="L126" i="47"/>
  <c r="M126" i="47"/>
  <c r="P126" i="47"/>
  <c r="T126" i="47"/>
  <c r="U126" i="47"/>
  <c r="L119" i="47"/>
  <c r="M119" i="47"/>
  <c r="P119" i="47"/>
  <c r="T119" i="47"/>
  <c r="U119" i="47"/>
  <c r="L112" i="47"/>
  <c r="M112" i="47"/>
  <c r="P112" i="47"/>
  <c r="T112" i="47"/>
  <c r="U112" i="47"/>
  <c r="L105" i="47"/>
  <c r="M105" i="47"/>
  <c r="M106" i="47" s="1"/>
  <c r="P105" i="47"/>
  <c r="T105" i="47"/>
  <c r="U105" i="47"/>
  <c r="U106" i="47" s="1"/>
  <c r="L98" i="47"/>
  <c r="M98" i="47"/>
  <c r="P98" i="47"/>
  <c r="T98" i="47"/>
  <c r="U98" i="47"/>
  <c r="L91" i="47"/>
  <c r="M91" i="47"/>
  <c r="P91" i="47"/>
  <c r="T91" i="47"/>
  <c r="U91" i="47"/>
  <c r="L84" i="47"/>
  <c r="M84" i="47"/>
  <c r="P84" i="47"/>
  <c r="T84" i="47"/>
  <c r="U84" i="47"/>
  <c r="L77" i="47"/>
  <c r="M77" i="47"/>
  <c r="P77" i="47"/>
  <c r="T77" i="47"/>
  <c r="U77" i="47"/>
  <c r="L70" i="47"/>
  <c r="M70" i="47"/>
  <c r="P70" i="47"/>
  <c r="T70" i="47"/>
  <c r="U70" i="47"/>
  <c r="L56" i="47"/>
  <c r="M56" i="47"/>
  <c r="P56" i="47"/>
  <c r="T56" i="47"/>
  <c r="U56" i="47"/>
  <c r="K49" i="47"/>
  <c r="L49" i="47"/>
  <c r="L48" i="47"/>
  <c r="K48" i="47"/>
  <c r="P49" i="47"/>
  <c r="T49" i="47"/>
  <c r="U49" i="47"/>
  <c r="M42" i="47"/>
  <c r="P42" i="47"/>
  <c r="T42" i="47"/>
  <c r="U42" i="47"/>
  <c r="L35" i="47"/>
  <c r="M35" i="47"/>
  <c r="P35" i="47"/>
  <c r="T35" i="47"/>
  <c r="U35" i="47"/>
  <c r="L28" i="47"/>
  <c r="M28" i="47"/>
  <c r="P28" i="47"/>
  <c r="T28" i="47"/>
  <c r="U28" i="47"/>
  <c r="L21" i="47"/>
  <c r="M21" i="47"/>
  <c r="P21" i="47"/>
  <c r="T21" i="47"/>
  <c r="U21" i="47"/>
  <c r="L7" i="47"/>
  <c r="M7" i="47"/>
  <c r="P7" i="47"/>
  <c r="T7" i="47"/>
  <c r="U7" i="47"/>
  <c r="I61" i="53" l="1"/>
  <c r="H67" i="53"/>
  <c r="I67" i="53" s="1"/>
  <c r="H63" i="63"/>
  <c r="I63" i="63" s="1"/>
  <c r="H64" i="63"/>
  <c r="I64" i="63" s="1"/>
  <c r="H63" i="60"/>
  <c r="I63" i="60" s="1"/>
  <c r="H64" i="60"/>
  <c r="I64" i="60" s="1"/>
  <c r="I68" i="56"/>
  <c r="H63" i="55"/>
  <c r="I63" i="55" s="1"/>
  <c r="H64" i="55"/>
  <c r="I64" i="55" s="1"/>
  <c r="H63" i="54"/>
  <c r="I63" i="54" s="1"/>
  <c r="H64" i="54"/>
  <c r="I64" i="54" s="1"/>
  <c r="H63" i="52"/>
  <c r="I63" i="52" s="1"/>
  <c r="H64" i="52"/>
  <c r="I64" i="52" s="1"/>
  <c r="H63" i="51"/>
  <c r="I63" i="51" s="1"/>
  <c r="H64" i="51"/>
  <c r="I64" i="51" s="1"/>
  <c r="I68" i="58"/>
  <c r="I60" i="63"/>
  <c r="H65" i="63"/>
  <c r="I65" i="63" s="1"/>
  <c r="I60" i="60"/>
  <c r="H65" i="60"/>
  <c r="I65" i="60" s="1"/>
  <c r="I60" i="55"/>
  <c r="H65" i="55"/>
  <c r="I65" i="55" s="1"/>
  <c r="I60" i="54"/>
  <c r="H65" i="54"/>
  <c r="I65" i="54" s="1"/>
  <c r="I60" i="52"/>
  <c r="H65" i="52"/>
  <c r="I65" i="52" s="1"/>
  <c r="I60" i="51"/>
  <c r="H65" i="51"/>
  <c r="I65" i="51" s="1"/>
  <c r="H62" i="60"/>
  <c r="I62" i="60" s="1"/>
  <c r="I59" i="60"/>
  <c r="H62" i="51"/>
  <c r="I62" i="51" s="1"/>
  <c r="I59" i="51"/>
  <c r="I68" i="51" s="1"/>
  <c r="H62" i="63"/>
  <c r="I62" i="63" s="1"/>
  <c r="I59" i="63"/>
  <c r="I68" i="63" s="1"/>
  <c r="H62" i="52"/>
  <c r="I62" i="52" s="1"/>
  <c r="I59" i="52"/>
  <c r="H62" i="55"/>
  <c r="I62" i="55" s="1"/>
  <c r="I59" i="55"/>
  <c r="H60" i="53"/>
  <c r="H66" i="53" s="1"/>
  <c r="I66" i="53" s="1"/>
  <c r="H59" i="53"/>
  <c r="I58" i="53"/>
  <c r="H62" i="54"/>
  <c r="I62" i="54" s="1"/>
  <c r="I59" i="54"/>
  <c r="M78" i="46"/>
  <c r="N77" i="46"/>
  <c r="H77" i="46"/>
  <c r="I76" i="46"/>
  <c r="O76" i="46" s="1"/>
  <c r="T38" i="44"/>
  <c r="S39" i="44"/>
  <c r="I39" i="44"/>
  <c r="H41" i="44"/>
  <c r="N39" i="44"/>
  <c r="M41" i="44"/>
  <c r="O38" i="44"/>
  <c r="H41" i="48"/>
  <c r="I41" i="48" s="1"/>
  <c r="H39" i="48"/>
  <c r="I38" i="48"/>
  <c r="M18" i="51"/>
  <c r="N16" i="51"/>
  <c r="H16" i="51"/>
  <c r="I16" i="51" s="1"/>
  <c r="I15" i="51"/>
  <c r="O15" i="51" s="1"/>
  <c r="O37" i="48"/>
  <c r="S38" i="48"/>
  <c r="T37" i="48"/>
  <c r="M39" i="48"/>
  <c r="M41" i="48"/>
  <c r="N41" i="48" s="1"/>
  <c r="N38" i="48"/>
  <c r="S16" i="51"/>
  <c r="T15" i="51"/>
  <c r="C58" i="47"/>
  <c r="C60" i="47" s="1"/>
  <c r="C57" i="47"/>
  <c r="C59" i="47" s="1"/>
  <c r="C61" i="47" s="1"/>
  <c r="Q58" i="47"/>
  <c r="Q57" i="47"/>
  <c r="E58" i="47"/>
  <c r="E60" i="47" s="1"/>
  <c r="E57" i="47"/>
  <c r="E59" i="47" s="1"/>
  <c r="E61" i="47" s="1"/>
  <c r="I18" i="47"/>
  <c r="W18" i="47" s="1"/>
  <c r="W16" i="47"/>
  <c r="R16" i="47"/>
  <c r="Q18" i="47"/>
  <c r="R18" i="47" s="1"/>
  <c r="I9" i="47"/>
  <c r="W8" i="47"/>
  <c r="I30" i="47"/>
  <c r="W29" i="47"/>
  <c r="I37" i="47"/>
  <c r="W36" i="47"/>
  <c r="I100" i="47"/>
  <c r="W99" i="47"/>
  <c r="I23" i="47"/>
  <c r="W22" i="47"/>
  <c r="I44" i="47"/>
  <c r="W43" i="47"/>
  <c r="I72" i="47"/>
  <c r="W71" i="47"/>
  <c r="I65" i="47"/>
  <c r="W64" i="47"/>
  <c r="I79" i="47"/>
  <c r="W78" i="47"/>
  <c r="I93" i="47"/>
  <c r="W92" i="47"/>
  <c r="I121" i="47"/>
  <c r="W120" i="47"/>
  <c r="I86" i="47"/>
  <c r="W85" i="47"/>
  <c r="I58" i="47"/>
  <c r="W57" i="47"/>
  <c r="I114" i="47"/>
  <c r="W113" i="47"/>
  <c r="R64" i="47"/>
  <c r="Q65" i="47"/>
  <c r="R71" i="47"/>
  <c r="Q72" i="47"/>
  <c r="R85" i="47"/>
  <c r="Q86" i="47"/>
  <c r="R99" i="47"/>
  <c r="Q100" i="47"/>
  <c r="R127" i="47"/>
  <c r="Q128" i="47"/>
  <c r="R78" i="47"/>
  <c r="Q79" i="47"/>
  <c r="R92" i="47"/>
  <c r="Q93" i="47"/>
  <c r="R106" i="47"/>
  <c r="Q107" i="47"/>
  <c r="R120" i="47"/>
  <c r="Q121" i="47"/>
  <c r="R134" i="47"/>
  <c r="Q135" i="47"/>
  <c r="V106" i="47"/>
  <c r="U107" i="47"/>
  <c r="N106" i="47"/>
  <c r="W106" i="47" s="1"/>
  <c r="M107" i="47"/>
  <c r="R50" i="47"/>
  <c r="Q51" i="47"/>
  <c r="R8" i="47"/>
  <c r="Q9" i="47"/>
  <c r="R22" i="47"/>
  <c r="Q23" i="47"/>
  <c r="R36" i="47"/>
  <c r="Q37" i="47"/>
  <c r="R29" i="47"/>
  <c r="Q30" i="47"/>
  <c r="R43" i="47"/>
  <c r="Q44" i="47"/>
  <c r="U133" i="47"/>
  <c r="U127" i="47"/>
  <c r="U128" i="47" s="1"/>
  <c r="U135" i="47" s="1"/>
  <c r="V135" i="47" s="1"/>
  <c r="M133" i="47"/>
  <c r="M127" i="47"/>
  <c r="M128" i="47" s="1"/>
  <c r="M135" i="47" s="1"/>
  <c r="N135" i="47" s="1"/>
  <c r="W135" i="47" s="1"/>
  <c r="Q142" i="47"/>
  <c r="Q28" i="49"/>
  <c r="K28" i="49"/>
  <c r="L28" i="49" s="1"/>
  <c r="S27" i="49"/>
  <c r="S28" i="49" s="1"/>
  <c r="S29" i="49" s="1"/>
  <c r="M27" i="49"/>
  <c r="M28" i="49" s="1"/>
  <c r="M29" i="49" s="1"/>
  <c r="H27" i="49"/>
  <c r="H28" i="49" s="1"/>
  <c r="H29" i="49" s="1"/>
  <c r="F28" i="49"/>
  <c r="I68" i="60" l="1"/>
  <c r="I68" i="54"/>
  <c r="H63" i="53"/>
  <c r="I63" i="53" s="1"/>
  <c r="H64" i="53"/>
  <c r="I64" i="53" s="1"/>
  <c r="I60" i="53"/>
  <c r="H65" i="53"/>
  <c r="I65" i="53" s="1"/>
  <c r="H62" i="53"/>
  <c r="I62" i="53" s="1"/>
  <c r="I59" i="53"/>
  <c r="N78" i="46"/>
  <c r="M79" i="46"/>
  <c r="H78" i="46"/>
  <c r="I77" i="46"/>
  <c r="O77" i="46" s="1"/>
  <c r="O39" i="44"/>
  <c r="N18" i="51"/>
  <c r="O18" i="51" s="1"/>
  <c r="M19" i="51"/>
  <c r="H43" i="44"/>
  <c r="H42" i="44"/>
  <c r="I41" i="44"/>
  <c r="M42" i="44"/>
  <c r="M43" i="44"/>
  <c r="N41" i="44"/>
  <c r="T39" i="44"/>
  <c r="S41" i="44"/>
  <c r="O16" i="51"/>
  <c r="N39" i="48"/>
  <c r="M42" i="48"/>
  <c r="I39" i="48"/>
  <c r="H42" i="48"/>
  <c r="O38" i="48"/>
  <c r="O41" i="48"/>
  <c r="S18" i="51"/>
  <c r="T16" i="51"/>
  <c r="O141" i="47"/>
  <c r="R141" i="47" s="1"/>
  <c r="O636" i="66"/>
  <c r="R636" i="66" s="1"/>
  <c r="S41" i="48"/>
  <c r="T41" i="48" s="1"/>
  <c r="S39" i="48"/>
  <c r="T38" i="48"/>
  <c r="S141" i="47"/>
  <c r="S636" i="66"/>
  <c r="V636" i="66" s="1"/>
  <c r="K141" i="47"/>
  <c r="K636" i="66"/>
  <c r="N636" i="66" s="1"/>
  <c r="Y636" i="66" s="1"/>
  <c r="I29" i="49"/>
  <c r="H30" i="49"/>
  <c r="T29" i="49"/>
  <c r="S30" i="49"/>
  <c r="G28" i="49"/>
  <c r="I28" i="49" s="1"/>
  <c r="N29" i="49"/>
  <c r="M30" i="49"/>
  <c r="Q59" i="47"/>
  <c r="R57" i="47"/>
  <c r="R58" i="47"/>
  <c r="Q60" i="47"/>
  <c r="R60" i="47" s="1"/>
  <c r="I10" i="47"/>
  <c r="W9" i="47"/>
  <c r="I122" i="47"/>
  <c r="W121" i="47"/>
  <c r="I59" i="47"/>
  <c r="W58" i="47"/>
  <c r="I80" i="47"/>
  <c r="W79" i="47"/>
  <c r="I73" i="47"/>
  <c r="W72" i="47"/>
  <c r="I24" i="47"/>
  <c r="W23" i="47"/>
  <c r="I38" i="47"/>
  <c r="W37" i="47"/>
  <c r="I115" i="47"/>
  <c r="W114" i="47"/>
  <c r="I87" i="47"/>
  <c r="W86" i="47"/>
  <c r="I94" i="47"/>
  <c r="W93" i="47"/>
  <c r="I66" i="47"/>
  <c r="W65" i="47"/>
  <c r="I45" i="47"/>
  <c r="W44" i="47"/>
  <c r="I101" i="47"/>
  <c r="W100" i="47"/>
  <c r="I31" i="47"/>
  <c r="W30" i="47"/>
  <c r="AC9" i="47"/>
  <c r="AA15" i="47"/>
  <c r="R142" i="47"/>
  <c r="Q143" i="47"/>
  <c r="Q136" i="47"/>
  <c r="R135" i="47"/>
  <c r="Q108" i="47"/>
  <c r="R107" i="47"/>
  <c r="Q80" i="47"/>
  <c r="R79" i="47"/>
  <c r="Q87" i="47"/>
  <c r="R86" i="47"/>
  <c r="Q66" i="47"/>
  <c r="R65" i="47"/>
  <c r="Q122" i="47"/>
  <c r="R121" i="47"/>
  <c r="Q94" i="47"/>
  <c r="R93" i="47"/>
  <c r="Q129" i="47"/>
  <c r="R128" i="47"/>
  <c r="Q101" i="47"/>
  <c r="R100" i="47"/>
  <c r="Q73" i="47"/>
  <c r="R72" i="47"/>
  <c r="U129" i="47"/>
  <c r="U130" i="47" s="1"/>
  <c r="U131" i="47" s="1"/>
  <c r="V128" i="47"/>
  <c r="M129" i="47"/>
  <c r="M130" i="47" s="1"/>
  <c r="M131" i="47" s="1"/>
  <c r="N128" i="47"/>
  <c r="W128" i="47" s="1"/>
  <c r="U108" i="47"/>
  <c r="V107" i="47"/>
  <c r="M108" i="47"/>
  <c r="N107" i="47"/>
  <c r="W107" i="47" s="1"/>
  <c r="Q31" i="47"/>
  <c r="R30" i="47"/>
  <c r="Q24" i="47"/>
  <c r="R23" i="47"/>
  <c r="R51" i="47"/>
  <c r="Q52" i="47"/>
  <c r="Q45" i="47"/>
  <c r="R44" i="47"/>
  <c r="Q38" i="47"/>
  <c r="R37" i="47"/>
  <c r="Q10" i="47"/>
  <c r="R9" i="47"/>
  <c r="N28" i="49"/>
  <c r="N127" i="47"/>
  <c r="W127" i="47" s="1"/>
  <c r="M134" i="47"/>
  <c r="N134" i="47" s="1"/>
  <c r="W134" i="47" s="1"/>
  <c r="V127" i="47"/>
  <c r="U134" i="47"/>
  <c r="V134" i="47" s="1"/>
  <c r="R28" i="49"/>
  <c r="T28" i="49" s="1"/>
  <c r="K38" i="46"/>
  <c r="M37" i="46"/>
  <c r="M38" i="46" s="1"/>
  <c r="H37" i="46"/>
  <c r="H38" i="46" s="1"/>
  <c r="F38" i="46"/>
  <c r="S37" i="46"/>
  <c r="S38" i="46" s="1"/>
  <c r="S39" i="46" s="1"/>
  <c r="Q38" i="46"/>
  <c r="R38" i="46" s="1"/>
  <c r="I78" i="46" l="1"/>
  <c r="O78" i="46" s="1"/>
  <c r="H79" i="46"/>
  <c r="M80" i="46"/>
  <c r="N79" i="46"/>
  <c r="O29" i="49"/>
  <c r="O28" i="49"/>
  <c r="O41" i="44"/>
  <c r="H44" i="44"/>
  <c r="I42" i="44"/>
  <c r="M45" i="44"/>
  <c r="N43" i="44"/>
  <c r="H45" i="44"/>
  <c r="I43" i="44"/>
  <c r="T18" i="51"/>
  <c r="S19" i="51"/>
  <c r="S42" i="44"/>
  <c r="S43" i="44"/>
  <c r="T41" i="44"/>
  <c r="M44" i="44"/>
  <c r="N42" i="44"/>
  <c r="M20" i="51"/>
  <c r="N19" i="51"/>
  <c r="O19" i="51" s="1"/>
  <c r="T39" i="48"/>
  <c r="S42" i="48"/>
  <c r="H43" i="48"/>
  <c r="I42" i="48"/>
  <c r="M43" i="48"/>
  <c r="N42" i="48"/>
  <c r="O39" i="48"/>
  <c r="O112" i="47"/>
  <c r="R112" i="47" s="1"/>
  <c r="O502" i="66"/>
  <c r="R502" i="66" s="1"/>
  <c r="K112" i="47"/>
  <c r="N112" i="47" s="1"/>
  <c r="W112" i="47" s="1"/>
  <c r="K502" i="66"/>
  <c r="N502" i="66" s="1"/>
  <c r="Y502" i="66" s="1"/>
  <c r="S112" i="47"/>
  <c r="V112" i="47" s="1"/>
  <c r="S502" i="66"/>
  <c r="V502" i="66" s="1"/>
  <c r="V131" i="47"/>
  <c r="U138" i="47"/>
  <c r="V138" i="47" s="1"/>
  <c r="N131" i="47"/>
  <c r="W131" i="47" s="1"/>
  <c r="M138" i="47"/>
  <c r="N138" i="47" s="1"/>
  <c r="W138" i="47" s="1"/>
  <c r="R59" i="47"/>
  <c r="Q61" i="47"/>
  <c r="R61" i="47" s="1"/>
  <c r="M31" i="49"/>
  <c r="N30" i="49"/>
  <c r="S31" i="49"/>
  <c r="T30" i="49"/>
  <c r="T39" i="46"/>
  <c r="S40" i="46"/>
  <c r="H31" i="49"/>
  <c r="I30" i="49"/>
  <c r="R143" i="47"/>
  <c r="AA16" i="47" s="1"/>
  <c r="Q144" i="47"/>
  <c r="N130" i="47"/>
  <c r="W130" i="47" s="1"/>
  <c r="M137" i="47"/>
  <c r="N137" i="47" s="1"/>
  <c r="W137" i="47" s="1"/>
  <c r="V130" i="47"/>
  <c r="U137" i="47"/>
  <c r="V137" i="47" s="1"/>
  <c r="R136" i="47"/>
  <c r="Q137" i="47"/>
  <c r="R129" i="47"/>
  <c r="Q130" i="47"/>
  <c r="W122" i="47"/>
  <c r="I123" i="47"/>
  <c r="R122" i="47"/>
  <c r="Q123" i="47"/>
  <c r="W115" i="47"/>
  <c r="I116" i="47"/>
  <c r="N108" i="47"/>
  <c r="W108" i="47" s="1"/>
  <c r="M109" i="47"/>
  <c r="R108" i="47"/>
  <c r="Q109" i="47"/>
  <c r="V108" i="47"/>
  <c r="U109" i="47"/>
  <c r="R101" i="47"/>
  <c r="Q102" i="47"/>
  <c r="W101" i="47"/>
  <c r="I102" i="47"/>
  <c r="W94" i="47"/>
  <c r="I95" i="47"/>
  <c r="R94" i="47"/>
  <c r="Q95" i="47"/>
  <c r="R87" i="47"/>
  <c r="Q88" i="47"/>
  <c r="W87" i="47"/>
  <c r="I88" i="47"/>
  <c r="R80" i="47"/>
  <c r="Q81" i="47"/>
  <c r="W80" i="47"/>
  <c r="I81" i="47"/>
  <c r="R73" i="47"/>
  <c r="Q74" i="47"/>
  <c r="W73" i="47"/>
  <c r="I74" i="47"/>
  <c r="R66" i="47"/>
  <c r="Q67" i="47"/>
  <c r="W66" i="47"/>
  <c r="I67" i="47"/>
  <c r="W59" i="47"/>
  <c r="I60" i="47"/>
  <c r="R52" i="47"/>
  <c r="Q53" i="47"/>
  <c r="R45" i="47"/>
  <c r="Q46" i="47"/>
  <c r="W45" i="47"/>
  <c r="I46" i="47"/>
  <c r="R38" i="47"/>
  <c r="Q39" i="47"/>
  <c r="W38" i="47"/>
  <c r="I39" i="47"/>
  <c r="W31" i="47"/>
  <c r="I32" i="47"/>
  <c r="R31" i="47"/>
  <c r="Q32" i="47"/>
  <c r="R24" i="47"/>
  <c r="Q25" i="47"/>
  <c r="W24" i="47"/>
  <c r="I25" i="47"/>
  <c r="R10" i="47"/>
  <c r="Q11" i="47"/>
  <c r="W10" i="47"/>
  <c r="I11" i="47"/>
  <c r="AD9" i="47"/>
  <c r="V129" i="47"/>
  <c r="U136" i="47"/>
  <c r="V136" i="47" s="1"/>
  <c r="N129" i="47"/>
  <c r="W129" i="47" s="1"/>
  <c r="M136" i="47"/>
  <c r="N136" i="47" s="1"/>
  <c r="W136" i="47" s="1"/>
  <c r="L38" i="46"/>
  <c r="N38" i="46" s="1"/>
  <c r="T38" i="46"/>
  <c r="G38" i="46"/>
  <c r="I38" i="46" s="1"/>
  <c r="K32" i="45"/>
  <c r="S569" i="66" s="1"/>
  <c r="V569" i="66" s="1"/>
  <c r="Q32" i="45"/>
  <c r="K569" i="66" s="1"/>
  <c r="N569" i="66" s="1"/>
  <c r="Y569" i="66" s="1"/>
  <c r="S31" i="45"/>
  <c r="S32" i="45" s="1"/>
  <c r="S33" i="45" s="1"/>
  <c r="F32" i="45"/>
  <c r="M31" i="45"/>
  <c r="M32" i="45" s="1"/>
  <c r="M33" i="45" s="1"/>
  <c r="H31" i="45"/>
  <c r="H32" i="45" s="1"/>
  <c r="H33" i="45" s="1"/>
  <c r="M81" i="46" l="1"/>
  <c r="N80" i="46"/>
  <c r="H80" i="46"/>
  <c r="I79" i="46"/>
  <c r="O79" i="46" s="1"/>
  <c r="O42" i="44"/>
  <c r="O43" i="44"/>
  <c r="I45" i="44"/>
  <c r="H47" i="44"/>
  <c r="I44" i="44"/>
  <c r="H46" i="44"/>
  <c r="N44" i="44"/>
  <c r="M46" i="44"/>
  <c r="N45" i="44"/>
  <c r="M47" i="44"/>
  <c r="I43" i="48"/>
  <c r="H44" i="48"/>
  <c r="M21" i="51"/>
  <c r="N20" i="51"/>
  <c r="O20" i="51" s="1"/>
  <c r="S45" i="44"/>
  <c r="T43" i="44"/>
  <c r="S44" i="44"/>
  <c r="T42" i="44"/>
  <c r="N43" i="48"/>
  <c r="M44" i="48"/>
  <c r="S20" i="51"/>
  <c r="T19" i="51"/>
  <c r="O42" i="48"/>
  <c r="S43" i="48"/>
  <c r="T42" i="48"/>
  <c r="O126" i="47"/>
  <c r="R126" i="47" s="1"/>
  <c r="O569" i="66"/>
  <c r="R569" i="66" s="1"/>
  <c r="O38" i="46"/>
  <c r="R137" i="47"/>
  <c r="Q138" i="47"/>
  <c r="R138" i="47" s="1"/>
  <c r="R130" i="47"/>
  <c r="Q131" i="47"/>
  <c r="R131" i="47" s="1"/>
  <c r="W123" i="47"/>
  <c r="I124" i="47"/>
  <c r="W124" i="47" s="1"/>
  <c r="R123" i="47"/>
  <c r="Q124" i="47"/>
  <c r="R124" i="47" s="1"/>
  <c r="W116" i="47"/>
  <c r="I117" i="47"/>
  <c r="W117" i="47" s="1"/>
  <c r="R109" i="47"/>
  <c r="Q110" i="47"/>
  <c r="R110" i="47" s="1"/>
  <c r="V109" i="47"/>
  <c r="U110" i="47"/>
  <c r="V110" i="47" s="1"/>
  <c r="N109" i="47"/>
  <c r="W109" i="47" s="1"/>
  <c r="M110" i="47"/>
  <c r="N110" i="47" s="1"/>
  <c r="W110" i="47" s="1"/>
  <c r="R102" i="47"/>
  <c r="Q103" i="47"/>
  <c r="R103" i="47" s="1"/>
  <c r="W102" i="47"/>
  <c r="I103" i="47"/>
  <c r="W103" i="47" s="1"/>
  <c r="W95" i="47"/>
  <c r="I96" i="47"/>
  <c r="W96" i="47" s="1"/>
  <c r="R95" i="47"/>
  <c r="Q96" i="47"/>
  <c r="R96" i="47" s="1"/>
  <c r="R88" i="47"/>
  <c r="Q89" i="47"/>
  <c r="R89" i="47" s="1"/>
  <c r="W88" i="47"/>
  <c r="I89" i="47"/>
  <c r="W89" i="47" s="1"/>
  <c r="R81" i="47"/>
  <c r="Q82" i="47"/>
  <c r="R82" i="47" s="1"/>
  <c r="W81" i="47"/>
  <c r="I82" i="47"/>
  <c r="W82" i="47" s="1"/>
  <c r="R74" i="47"/>
  <c r="Q75" i="47"/>
  <c r="R75" i="47" s="1"/>
  <c r="W74" i="47"/>
  <c r="I75" i="47"/>
  <c r="W75" i="47" s="1"/>
  <c r="R67" i="47"/>
  <c r="Q68" i="47"/>
  <c r="R68" i="47" s="1"/>
  <c r="W67" i="47"/>
  <c r="I68" i="47"/>
  <c r="W68" i="47" s="1"/>
  <c r="W60" i="47"/>
  <c r="I61" i="47"/>
  <c r="W61" i="47" s="1"/>
  <c r="R53" i="47"/>
  <c r="Q54" i="47"/>
  <c r="R54" i="47" s="1"/>
  <c r="R46" i="47"/>
  <c r="Q47" i="47"/>
  <c r="R47" i="47" s="1"/>
  <c r="W46" i="47"/>
  <c r="I47" i="47"/>
  <c r="W47" i="47" s="1"/>
  <c r="R39" i="47"/>
  <c r="Q40" i="47"/>
  <c r="R40" i="47" s="1"/>
  <c r="W39" i="47"/>
  <c r="I40" i="47"/>
  <c r="W40" i="47" s="1"/>
  <c r="W32" i="47"/>
  <c r="I33" i="47"/>
  <c r="W33" i="47" s="1"/>
  <c r="R32" i="47"/>
  <c r="Q33" i="47"/>
  <c r="R33" i="47" s="1"/>
  <c r="R25" i="47"/>
  <c r="Q26" i="47"/>
  <c r="R26" i="47" s="1"/>
  <c r="W25" i="47"/>
  <c r="I26" i="47"/>
  <c r="W26" i="47" s="1"/>
  <c r="R11" i="47"/>
  <c r="Q12" i="47"/>
  <c r="R12" i="47" s="1"/>
  <c r="W11" i="47"/>
  <c r="I12" i="47"/>
  <c r="W12" i="47" s="1"/>
  <c r="R144" i="47"/>
  <c r="Q145" i="47"/>
  <c r="N33" i="45"/>
  <c r="M34" i="45"/>
  <c r="H32" i="49"/>
  <c r="I31" i="49"/>
  <c r="T33" i="45"/>
  <c r="S34" i="45"/>
  <c r="S41" i="46"/>
  <c r="T40" i="46"/>
  <c r="O30" i="49"/>
  <c r="S32" i="49"/>
  <c r="T31" i="49"/>
  <c r="M32" i="49"/>
  <c r="N31" i="49"/>
  <c r="I33" i="45"/>
  <c r="H34" i="45"/>
  <c r="L32" i="45"/>
  <c r="S126" i="47"/>
  <c r="V126" i="47" s="1"/>
  <c r="G32" i="45"/>
  <c r="I32" i="45" s="1"/>
  <c r="R32" i="45"/>
  <c r="T32" i="45" s="1"/>
  <c r="K126" i="47"/>
  <c r="N126" i="47" s="1"/>
  <c r="W126" i="47" s="1"/>
  <c r="O45" i="44" l="1"/>
  <c r="O43" i="48"/>
  <c r="H81" i="46"/>
  <c r="I80" i="46"/>
  <c r="O80" i="46" s="1"/>
  <c r="M82" i="46"/>
  <c r="N81" i="46"/>
  <c r="O44" i="44"/>
  <c r="M49" i="44"/>
  <c r="N47" i="44"/>
  <c r="H48" i="44"/>
  <c r="I46" i="44"/>
  <c r="M48" i="44"/>
  <c r="N46" i="44"/>
  <c r="H49" i="44"/>
  <c r="I47" i="44"/>
  <c r="T45" i="44"/>
  <c r="S47" i="44"/>
  <c r="T43" i="48"/>
  <c r="S44" i="48"/>
  <c r="S21" i="51"/>
  <c r="T20" i="51"/>
  <c r="M22" i="51"/>
  <c r="N21" i="51"/>
  <c r="O21" i="51" s="1"/>
  <c r="M45" i="48"/>
  <c r="N44" i="48"/>
  <c r="H45" i="48"/>
  <c r="I44" i="48"/>
  <c r="S46" i="44"/>
  <c r="T44" i="44"/>
  <c r="T32" i="49"/>
  <c r="S33" i="49"/>
  <c r="I32" i="49"/>
  <c r="H33" i="49"/>
  <c r="N32" i="49"/>
  <c r="M33" i="49"/>
  <c r="R145" i="47"/>
  <c r="Q146" i="47"/>
  <c r="R146" i="47" s="1"/>
  <c r="I34" i="45"/>
  <c r="H35" i="45"/>
  <c r="S42" i="46"/>
  <c r="T41" i="46"/>
  <c r="S35" i="45"/>
  <c r="T34" i="45"/>
  <c r="M35" i="45"/>
  <c r="N34" i="45"/>
  <c r="O31" i="49"/>
  <c r="N32" i="45"/>
  <c r="N82" i="46" l="1"/>
  <c r="M83" i="46"/>
  <c r="H82" i="46"/>
  <c r="I81" i="46"/>
  <c r="O81" i="46" s="1"/>
  <c r="O46" i="44"/>
  <c r="I49" i="44"/>
  <c r="H51" i="44"/>
  <c r="I48" i="44"/>
  <c r="H50" i="44"/>
  <c r="O47" i="44"/>
  <c r="N48" i="44"/>
  <c r="M50" i="44"/>
  <c r="N49" i="44"/>
  <c r="M51" i="44"/>
  <c r="T46" i="44"/>
  <c r="S48" i="44"/>
  <c r="S49" i="44"/>
  <c r="T47" i="44"/>
  <c r="S22" i="51"/>
  <c r="T21" i="51"/>
  <c r="H46" i="48"/>
  <c r="I45" i="48"/>
  <c r="M23" i="51"/>
  <c r="N22" i="51"/>
  <c r="O22" i="51" s="1"/>
  <c r="O44" i="48"/>
  <c r="M46" i="48"/>
  <c r="N45" i="48"/>
  <c r="S45" i="48"/>
  <c r="T44" i="48"/>
  <c r="H34" i="49"/>
  <c r="I33" i="49"/>
  <c r="T42" i="46"/>
  <c r="S43" i="46"/>
  <c r="M34" i="49"/>
  <c r="N33" i="49"/>
  <c r="S34" i="49"/>
  <c r="T33" i="49"/>
  <c r="O32" i="49"/>
  <c r="M36" i="45"/>
  <c r="N35" i="45"/>
  <c r="H36" i="45"/>
  <c r="I35" i="45"/>
  <c r="S36" i="45"/>
  <c r="T35" i="45"/>
  <c r="K9" i="61"/>
  <c r="S337" i="66" s="1"/>
  <c r="V337" i="66" s="1"/>
  <c r="K8" i="61"/>
  <c r="S336" i="66" s="1"/>
  <c r="V336" i="66" s="1"/>
  <c r="F9" i="53"/>
  <c r="O72" i="66" s="1"/>
  <c r="R72" i="66" s="1"/>
  <c r="Q9" i="52"/>
  <c r="R9" i="52" s="1"/>
  <c r="K9" i="52"/>
  <c r="F9" i="52"/>
  <c r="S8" i="52"/>
  <c r="S9" i="52" s="1"/>
  <c r="S10" i="52" s="1"/>
  <c r="M8" i="52"/>
  <c r="M9" i="52" s="1"/>
  <c r="M10" i="52" s="1"/>
  <c r="H8" i="52"/>
  <c r="H9" i="52" s="1"/>
  <c r="H10" i="52" s="1"/>
  <c r="Q9" i="62"/>
  <c r="K9" i="62"/>
  <c r="S371" i="66" s="1"/>
  <c r="V371" i="66" s="1"/>
  <c r="S8" i="62"/>
  <c r="S9" i="62" s="1"/>
  <c r="S10" i="62" s="1"/>
  <c r="M8" i="62"/>
  <c r="M9" i="62" s="1"/>
  <c r="M10" i="62" s="1"/>
  <c r="H8" i="62"/>
  <c r="H9" i="62" s="1"/>
  <c r="H10" i="62" s="1"/>
  <c r="F9" i="62"/>
  <c r="O371" i="66" s="1"/>
  <c r="R371" i="66" s="1"/>
  <c r="Q9" i="61"/>
  <c r="F9" i="61"/>
  <c r="O337" i="66" s="1"/>
  <c r="R337" i="66" s="1"/>
  <c r="Q9" i="55"/>
  <c r="S8" i="55"/>
  <c r="S9" i="55" s="1"/>
  <c r="S10" i="55" s="1"/>
  <c r="M8" i="55"/>
  <c r="M9" i="55" s="1"/>
  <c r="M10" i="55" s="1"/>
  <c r="K9" i="55"/>
  <c r="S137" i="66" s="1"/>
  <c r="V137" i="66" s="1"/>
  <c r="F9" i="55"/>
  <c r="O137" i="66" s="1"/>
  <c r="R137" i="66" s="1"/>
  <c r="M8" i="54"/>
  <c r="M9" i="54" s="1"/>
  <c r="M10" i="54" s="1"/>
  <c r="S8" i="54"/>
  <c r="S9" i="54" s="1"/>
  <c r="S10" i="54" s="1"/>
  <c r="Q9" i="54"/>
  <c r="K9" i="54"/>
  <c r="S104" i="66" s="1"/>
  <c r="V104" i="66" s="1"/>
  <c r="F9" i="54"/>
  <c r="O104" i="66" s="1"/>
  <c r="R104" i="66" s="1"/>
  <c r="Q9" i="53"/>
  <c r="R9" i="53" s="1"/>
  <c r="K9" i="53"/>
  <c r="Q9" i="56"/>
  <c r="K9" i="56"/>
  <c r="F9" i="56"/>
  <c r="O170" i="66" s="1"/>
  <c r="R170" i="66" s="1"/>
  <c r="Q9" i="63"/>
  <c r="K9" i="63"/>
  <c r="S404" i="66" s="1"/>
  <c r="V404" i="66" s="1"/>
  <c r="F9" i="63"/>
  <c r="O404" i="66" s="1"/>
  <c r="R404" i="66" s="1"/>
  <c r="Q9" i="58"/>
  <c r="K9" i="58"/>
  <c r="S238" i="66" s="1"/>
  <c r="V238" i="66" s="1"/>
  <c r="F9" i="58"/>
  <c r="O238" i="66" s="1"/>
  <c r="R238" i="66" s="1"/>
  <c r="S8" i="57"/>
  <c r="R9" i="57"/>
  <c r="K9" i="57"/>
  <c r="S203" i="66" s="1"/>
  <c r="V203" i="66" s="1"/>
  <c r="F9" i="57"/>
  <c r="Q9" i="59"/>
  <c r="K271" i="66" s="1"/>
  <c r="N271" i="66" s="1"/>
  <c r="Y271" i="66" s="1"/>
  <c r="K9" i="59"/>
  <c r="S271" i="66" s="1"/>
  <c r="V271" i="66" s="1"/>
  <c r="F9" i="59"/>
  <c r="O271" i="66" s="1"/>
  <c r="R271" i="66" s="1"/>
  <c r="Q9" i="65"/>
  <c r="M8" i="65"/>
  <c r="M9" i="65" s="1"/>
  <c r="M10" i="65" s="1"/>
  <c r="K9" i="65"/>
  <c r="S470" i="66" s="1"/>
  <c r="V470" i="66" s="1"/>
  <c r="F9" i="65"/>
  <c r="O470" i="66" s="1"/>
  <c r="R470" i="66" s="1"/>
  <c r="Q9" i="64"/>
  <c r="K437" i="66" s="1"/>
  <c r="N437" i="66" s="1"/>
  <c r="Y437" i="66" s="1"/>
  <c r="K9" i="64"/>
  <c r="S437" i="66" s="1"/>
  <c r="V437" i="66" s="1"/>
  <c r="F9" i="64"/>
  <c r="O437" i="66" s="1"/>
  <c r="R437" i="66" s="1"/>
  <c r="I82" i="46" l="1"/>
  <c r="O82" i="46" s="1"/>
  <c r="H83" i="46"/>
  <c r="M85" i="46"/>
  <c r="N83" i="46"/>
  <c r="O45" i="48"/>
  <c r="O33" i="49"/>
  <c r="O49" i="44"/>
  <c r="T49" i="44"/>
  <c r="S51" i="44"/>
  <c r="H52" i="44"/>
  <c r="I50" i="44"/>
  <c r="T48" i="44"/>
  <c r="S50" i="44"/>
  <c r="M52" i="44"/>
  <c r="N50" i="44"/>
  <c r="O50" i="44" s="1"/>
  <c r="O48" i="44"/>
  <c r="H54" i="44"/>
  <c r="I51" i="44"/>
  <c r="M54" i="44"/>
  <c r="N51" i="44"/>
  <c r="N46" i="48"/>
  <c r="M47" i="48"/>
  <c r="I46" i="48"/>
  <c r="H47" i="48"/>
  <c r="N23" i="51"/>
  <c r="O23" i="51" s="1"/>
  <c r="M24" i="51"/>
  <c r="S23" i="51"/>
  <c r="T22" i="51"/>
  <c r="S46" i="48"/>
  <c r="T45" i="48"/>
  <c r="K98" i="47"/>
  <c r="N98" i="47" s="1"/>
  <c r="W98" i="47" s="1"/>
  <c r="K105" i="47"/>
  <c r="N105" i="47" s="1"/>
  <c r="W105" i="47" s="1"/>
  <c r="K470" i="66"/>
  <c r="N470" i="66" s="1"/>
  <c r="Y470" i="66" s="1"/>
  <c r="O49" i="47"/>
  <c r="R49" i="47" s="1"/>
  <c r="O203" i="66"/>
  <c r="R203" i="66" s="1"/>
  <c r="K42" i="47"/>
  <c r="N42" i="47" s="1"/>
  <c r="W42" i="47" s="1"/>
  <c r="K170" i="66"/>
  <c r="N170" i="66" s="1"/>
  <c r="Y170" i="66" s="1"/>
  <c r="I36" i="45"/>
  <c r="H37" i="45"/>
  <c r="S44" i="46"/>
  <c r="T43" i="46"/>
  <c r="O63" i="47"/>
  <c r="R63" i="47" s="1"/>
  <c r="K91" i="47"/>
  <c r="N91" i="47" s="1"/>
  <c r="W91" i="47" s="1"/>
  <c r="K404" i="66"/>
  <c r="N404" i="66" s="1"/>
  <c r="Y404" i="66" s="1"/>
  <c r="S21" i="47"/>
  <c r="V21" i="47" s="1"/>
  <c r="S72" i="66"/>
  <c r="V72" i="66" s="1"/>
  <c r="K35" i="47"/>
  <c r="N35" i="47" s="1"/>
  <c r="W35" i="47" s="1"/>
  <c r="K137" i="66"/>
  <c r="N137" i="66" s="1"/>
  <c r="Y137" i="66" s="1"/>
  <c r="K84" i="47"/>
  <c r="N84" i="47" s="1"/>
  <c r="W84" i="47" s="1"/>
  <c r="K371" i="66"/>
  <c r="N371" i="66" s="1"/>
  <c r="Y371" i="66" s="1"/>
  <c r="K14" i="47"/>
  <c r="N14" i="47" s="1"/>
  <c r="W14" i="47" s="1"/>
  <c r="K39" i="66"/>
  <c r="N39" i="66" s="1"/>
  <c r="S35" i="49"/>
  <c r="T34" i="49"/>
  <c r="S63" i="47"/>
  <c r="V63" i="47" s="1"/>
  <c r="R9" i="58"/>
  <c r="K238" i="66"/>
  <c r="N238" i="66" s="1"/>
  <c r="Y238" i="66" s="1"/>
  <c r="K28" i="47"/>
  <c r="N28" i="47" s="1"/>
  <c r="W28" i="47" s="1"/>
  <c r="K104" i="66"/>
  <c r="N104" i="66" s="1"/>
  <c r="Y104" i="66" s="1"/>
  <c r="O14" i="47"/>
  <c r="R14" i="47" s="1"/>
  <c r="O39" i="66"/>
  <c r="R39" i="66" s="1"/>
  <c r="T36" i="45"/>
  <c r="S37" i="45"/>
  <c r="N36" i="45"/>
  <c r="M37" i="45"/>
  <c r="K63" i="47"/>
  <c r="N63" i="47" s="1"/>
  <c r="W63" i="47" s="1"/>
  <c r="M48" i="47"/>
  <c r="M202" i="66"/>
  <c r="S42" i="47"/>
  <c r="V42" i="47" s="1"/>
  <c r="S170" i="66"/>
  <c r="V170" i="66" s="1"/>
  <c r="K21" i="47"/>
  <c r="N21" i="47" s="1"/>
  <c r="W21" i="47" s="1"/>
  <c r="K72" i="66"/>
  <c r="N72" i="66" s="1"/>
  <c r="Y72" i="66" s="1"/>
  <c r="K77" i="47"/>
  <c r="N77" i="47" s="1"/>
  <c r="W77" i="47" s="1"/>
  <c r="K337" i="66"/>
  <c r="N337" i="66" s="1"/>
  <c r="Y337" i="66" s="1"/>
  <c r="S14" i="47"/>
  <c r="V14" i="47" s="1"/>
  <c r="S39" i="66"/>
  <c r="V39" i="66" s="1"/>
  <c r="M35" i="49"/>
  <c r="N34" i="49"/>
  <c r="H35" i="49"/>
  <c r="I34" i="49"/>
  <c r="G9" i="57"/>
  <c r="R9" i="65"/>
  <c r="N10" i="65"/>
  <c r="M11" i="65"/>
  <c r="R9" i="64"/>
  <c r="N10" i="62"/>
  <c r="M11" i="62"/>
  <c r="T10" i="62"/>
  <c r="S11" i="62"/>
  <c r="I10" i="62"/>
  <c r="H11" i="62"/>
  <c r="R9" i="61"/>
  <c r="N10" i="55"/>
  <c r="M11" i="55"/>
  <c r="T10" i="55"/>
  <c r="S11" i="55"/>
  <c r="N10" i="54"/>
  <c r="M11" i="54"/>
  <c r="T10" i="54"/>
  <c r="S11" i="54"/>
  <c r="T10" i="52"/>
  <c r="S11" i="52"/>
  <c r="N10" i="52"/>
  <c r="M11" i="52"/>
  <c r="I10" i="52"/>
  <c r="H11" i="52"/>
  <c r="L9" i="56"/>
  <c r="L9" i="53"/>
  <c r="G9" i="64"/>
  <c r="O98" i="47"/>
  <c r="R98" i="47" s="1"/>
  <c r="L9" i="65"/>
  <c r="N9" i="65" s="1"/>
  <c r="S105" i="47"/>
  <c r="V105" i="47" s="1"/>
  <c r="L9" i="64"/>
  <c r="S98" i="47"/>
  <c r="V98" i="47" s="1"/>
  <c r="L9" i="57"/>
  <c r="S49" i="47"/>
  <c r="V49" i="47" s="1"/>
  <c r="G9" i="63"/>
  <c r="O91" i="47"/>
  <c r="R91" i="47" s="1"/>
  <c r="R9" i="63"/>
  <c r="R9" i="56"/>
  <c r="R9" i="54"/>
  <c r="T9" i="54" s="1"/>
  <c r="R9" i="55"/>
  <c r="T9" i="55" s="1"/>
  <c r="G9" i="62"/>
  <c r="I9" i="62" s="1"/>
  <c r="O84" i="47"/>
  <c r="R84" i="47" s="1"/>
  <c r="R9" i="62"/>
  <c r="T9" i="62" s="1"/>
  <c r="L9" i="52"/>
  <c r="N9" i="52" s="1"/>
  <c r="G9" i="54"/>
  <c r="O28" i="47"/>
  <c r="R28" i="47" s="1"/>
  <c r="G9" i="53"/>
  <c r="O21" i="47"/>
  <c r="R21" i="47" s="1"/>
  <c r="G9" i="65"/>
  <c r="O105" i="47"/>
  <c r="R105" i="47" s="1"/>
  <c r="G9" i="58"/>
  <c r="O56" i="47"/>
  <c r="R56" i="47" s="1"/>
  <c r="K56" i="47"/>
  <c r="N56" i="47" s="1"/>
  <c r="W56" i="47" s="1"/>
  <c r="L9" i="63"/>
  <c r="S91" i="47"/>
  <c r="V91" i="47" s="1"/>
  <c r="L9" i="54"/>
  <c r="N9" i="54" s="1"/>
  <c r="S28" i="47"/>
  <c r="V28" i="47" s="1"/>
  <c r="G9" i="55"/>
  <c r="I9" i="55" s="1"/>
  <c r="O35" i="47"/>
  <c r="R35" i="47" s="1"/>
  <c r="L9" i="62"/>
  <c r="N9" i="62" s="1"/>
  <c r="S84" i="47"/>
  <c r="V84" i="47" s="1"/>
  <c r="G9" i="52"/>
  <c r="I9" i="52" s="1"/>
  <c r="T9" i="52"/>
  <c r="S9" i="57"/>
  <c r="L9" i="58"/>
  <c r="S56" i="47"/>
  <c r="V56" i="47" s="1"/>
  <c r="G9" i="56"/>
  <c r="O42" i="47"/>
  <c r="R42" i="47" s="1"/>
  <c r="L9" i="55"/>
  <c r="N9" i="55" s="1"/>
  <c r="S35" i="47"/>
  <c r="V35" i="47" s="1"/>
  <c r="G9" i="61"/>
  <c r="O77" i="47"/>
  <c r="R77" i="47" s="1"/>
  <c r="L9" i="61"/>
  <c r="S77" i="47"/>
  <c r="V77" i="47" s="1"/>
  <c r="L9" i="59"/>
  <c r="R9" i="59"/>
  <c r="G9" i="59"/>
  <c r="O46" i="48" l="1"/>
  <c r="M86" i="46"/>
  <c r="N85" i="46"/>
  <c r="H85" i="46"/>
  <c r="I83" i="46"/>
  <c r="O83" i="46" s="1"/>
  <c r="I54" i="44"/>
  <c r="H56" i="44"/>
  <c r="I52" i="44"/>
  <c r="H55" i="44"/>
  <c r="N52" i="44"/>
  <c r="M55" i="44"/>
  <c r="N54" i="44"/>
  <c r="M56" i="44"/>
  <c r="S52" i="44"/>
  <c r="T50" i="44"/>
  <c r="S54" i="44"/>
  <c r="T51" i="44"/>
  <c r="O51" i="44"/>
  <c r="H48" i="48"/>
  <c r="I47" i="48"/>
  <c r="T23" i="51"/>
  <c r="S24" i="51"/>
  <c r="T46" i="48"/>
  <c r="S47" i="48"/>
  <c r="M25" i="51"/>
  <c r="N24" i="51"/>
  <c r="O24" i="51" s="1"/>
  <c r="M48" i="48"/>
  <c r="N47" i="48"/>
  <c r="O47" i="48" s="1"/>
  <c r="T9" i="57"/>
  <c r="M203" i="66"/>
  <c r="O34" i="49"/>
  <c r="S38" i="45"/>
  <c r="T37" i="45"/>
  <c r="Y39" i="66"/>
  <c r="M37" i="49"/>
  <c r="N35" i="49"/>
  <c r="S45" i="46"/>
  <c r="T44" i="46"/>
  <c r="M38" i="45"/>
  <c r="N37" i="45"/>
  <c r="H38" i="45"/>
  <c r="I37" i="45"/>
  <c r="H37" i="49"/>
  <c r="I35" i="49"/>
  <c r="S37" i="49"/>
  <c r="T35" i="49"/>
  <c r="M12" i="65"/>
  <c r="N11" i="65"/>
  <c r="S12" i="62"/>
  <c r="T11" i="62"/>
  <c r="H12" i="62"/>
  <c r="I11" i="62"/>
  <c r="M12" i="62"/>
  <c r="N11" i="62"/>
  <c r="S12" i="55"/>
  <c r="T11" i="55"/>
  <c r="M12" i="55"/>
  <c r="N11" i="55"/>
  <c r="S12" i="54"/>
  <c r="T11" i="54"/>
  <c r="M12" i="54"/>
  <c r="N11" i="54"/>
  <c r="M12" i="52"/>
  <c r="N11" i="52"/>
  <c r="H12" i="52"/>
  <c r="I11" i="52"/>
  <c r="S12" i="52"/>
  <c r="T11" i="52"/>
  <c r="S10" i="57"/>
  <c r="M49" i="47"/>
  <c r="S8" i="60"/>
  <c r="S9" i="60" s="1"/>
  <c r="S10" i="60" s="1"/>
  <c r="Q9" i="60"/>
  <c r="K304" i="66" s="1"/>
  <c r="N304" i="66" s="1"/>
  <c r="Y304" i="66" s="1"/>
  <c r="K9" i="60"/>
  <c r="S304" i="66" s="1"/>
  <c r="V304" i="66" s="1"/>
  <c r="F9" i="60"/>
  <c r="O304" i="66" s="1"/>
  <c r="R304" i="66" s="1"/>
  <c r="Q9" i="51"/>
  <c r="K9" i="51"/>
  <c r="S7" i="66" s="1"/>
  <c r="V7" i="66" s="1"/>
  <c r="F9" i="51"/>
  <c r="O7" i="66" s="1"/>
  <c r="R7" i="66" s="1"/>
  <c r="Q32" i="48"/>
  <c r="K32" i="48"/>
  <c r="F32" i="48"/>
  <c r="O603" i="66" s="1"/>
  <c r="R603" i="66" s="1"/>
  <c r="Q32" i="44"/>
  <c r="K536" i="66" s="1"/>
  <c r="N536" i="66" s="1"/>
  <c r="Y536" i="66" s="1"/>
  <c r="K32" i="44"/>
  <c r="F32" i="44"/>
  <c r="O536" i="66" s="1"/>
  <c r="R536" i="66" s="1"/>
  <c r="O54" i="44" l="1"/>
  <c r="H86" i="46"/>
  <c r="I85" i="46"/>
  <c r="M88" i="46"/>
  <c r="M91" i="46" s="1"/>
  <c r="M87" i="46"/>
  <c r="N86" i="46"/>
  <c r="N56" i="44"/>
  <c r="M58" i="44"/>
  <c r="I56" i="44"/>
  <c r="H58" i="44"/>
  <c r="T54" i="44"/>
  <c r="S56" i="44"/>
  <c r="M57" i="44"/>
  <c r="N55" i="44"/>
  <c r="O52" i="44"/>
  <c r="T52" i="44"/>
  <c r="S55" i="44"/>
  <c r="H57" i="44"/>
  <c r="I55" i="44"/>
  <c r="S25" i="51"/>
  <c r="T24" i="51"/>
  <c r="M26" i="51"/>
  <c r="N25" i="51"/>
  <c r="O25" i="51" s="1"/>
  <c r="S48" i="48"/>
  <c r="T47" i="48"/>
  <c r="M49" i="48"/>
  <c r="N48" i="48"/>
  <c r="H49" i="48"/>
  <c r="I48" i="48"/>
  <c r="T37" i="49"/>
  <c r="S38" i="49"/>
  <c r="I37" i="49"/>
  <c r="H38" i="49"/>
  <c r="M38" i="49"/>
  <c r="N37" i="49"/>
  <c r="AC39" i="66"/>
  <c r="S133" i="47"/>
  <c r="V133" i="47" s="1"/>
  <c r="S603" i="66"/>
  <c r="V603" i="66" s="1"/>
  <c r="K7" i="47"/>
  <c r="N7" i="47" s="1"/>
  <c r="W7" i="47" s="1"/>
  <c r="K7" i="66"/>
  <c r="N7" i="66" s="1"/>
  <c r="Y7" i="66" s="1"/>
  <c r="S119" i="47"/>
  <c r="V119" i="47" s="1"/>
  <c r="S536" i="66"/>
  <c r="V536" i="66" s="1"/>
  <c r="K133" i="47"/>
  <c r="N133" i="47" s="1"/>
  <c r="W133" i="47" s="1"/>
  <c r="K603" i="66"/>
  <c r="N603" i="66" s="1"/>
  <c r="Y603" i="66" s="1"/>
  <c r="M39" i="45"/>
  <c r="N38" i="45"/>
  <c r="S39" i="45"/>
  <c r="T38" i="45"/>
  <c r="S11" i="57"/>
  <c r="M205" i="66" s="1"/>
  <c r="M204" i="66"/>
  <c r="H39" i="45"/>
  <c r="I38" i="45"/>
  <c r="S47" i="46"/>
  <c r="T45" i="46"/>
  <c r="O35" i="49"/>
  <c r="N49" i="47"/>
  <c r="W49" i="47" s="1"/>
  <c r="N203" i="66"/>
  <c r="R32" i="48"/>
  <c r="T32" i="48" s="1"/>
  <c r="M13" i="65"/>
  <c r="N12" i="65"/>
  <c r="H13" i="62"/>
  <c r="I12" i="62"/>
  <c r="M13" i="62"/>
  <c r="N12" i="62"/>
  <c r="S13" i="62"/>
  <c r="T12" i="62"/>
  <c r="T10" i="60"/>
  <c r="S11" i="60"/>
  <c r="S12" i="57"/>
  <c r="M206" i="66" s="1"/>
  <c r="S13" i="55"/>
  <c r="T12" i="55"/>
  <c r="M13" i="55"/>
  <c r="N12" i="55"/>
  <c r="M13" i="54"/>
  <c r="N12" i="54"/>
  <c r="S13" i="54"/>
  <c r="T12" i="54"/>
  <c r="H13" i="52"/>
  <c r="I12" i="52"/>
  <c r="S13" i="52"/>
  <c r="T12" i="52"/>
  <c r="M13" i="52"/>
  <c r="N12" i="52"/>
  <c r="R9" i="51"/>
  <c r="T9" i="51" s="1"/>
  <c r="L9" i="51"/>
  <c r="N9" i="51" s="1"/>
  <c r="S7" i="47"/>
  <c r="V7" i="47" s="1"/>
  <c r="G9" i="60"/>
  <c r="O70" i="47"/>
  <c r="R70" i="47" s="1"/>
  <c r="L9" i="60"/>
  <c r="S70" i="47"/>
  <c r="V70" i="47" s="1"/>
  <c r="M50" i="47"/>
  <c r="T10" i="57"/>
  <c r="G9" i="51"/>
  <c r="I9" i="51" s="1"/>
  <c r="O7" i="47"/>
  <c r="R7" i="47" s="1"/>
  <c r="R9" i="60"/>
  <c r="T9" i="60" s="1"/>
  <c r="K70" i="47"/>
  <c r="N70" i="47" s="1"/>
  <c r="W70" i="47" s="1"/>
  <c r="R32" i="44"/>
  <c r="T32" i="44" s="1"/>
  <c r="K119" i="47"/>
  <c r="N119" i="47" s="1"/>
  <c r="W119" i="47" s="1"/>
  <c r="G32" i="44"/>
  <c r="I32" i="44" s="1"/>
  <c r="O119" i="47"/>
  <c r="R119" i="47" s="1"/>
  <c r="L32" i="44"/>
  <c r="N32" i="44" s="1"/>
  <c r="G32" i="48"/>
  <c r="I32" i="48" s="1"/>
  <c r="O133" i="47"/>
  <c r="R133" i="47" s="1"/>
  <c r="L32" i="48"/>
  <c r="N32" i="48" s="1"/>
  <c r="T111" i="47"/>
  <c r="N91" i="46" l="1"/>
  <c r="M95" i="46"/>
  <c r="N95" i="46" s="1"/>
  <c r="O85" i="46"/>
  <c r="N88" i="46"/>
  <c r="M90" i="46"/>
  <c r="M51" i="47"/>
  <c r="M89" i="46"/>
  <c r="N87" i="46"/>
  <c r="H88" i="46"/>
  <c r="H91" i="46" s="1"/>
  <c r="H87" i="46"/>
  <c r="I86" i="46"/>
  <c r="O86" i="46" s="1"/>
  <c r="H60" i="44"/>
  <c r="I58" i="44"/>
  <c r="I57" i="44"/>
  <c r="H59" i="44"/>
  <c r="T56" i="44"/>
  <c r="S58" i="44"/>
  <c r="O37" i="49"/>
  <c r="M60" i="44"/>
  <c r="N58" i="44"/>
  <c r="O55" i="44"/>
  <c r="N57" i="44"/>
  <c r="O57" i="44" s="1"/>
  <c r="M59" i="44"/>
  <c r="O56" i="44"/>
  <c r="S57" i="44"/>
  <c r="T55" i="44"/>
  <c r="N49" i="48"/>
  <c r="M50" i="48"/>
  <c r="N26" i="51"/>
  <c r="O26" i="51" s="1"/>
  <c r="M27" i="51"/>
  <c r="I49" i="48"/>
  <c r="H50" i="48"/>
  <c r="O48" i="48"/>
  <c r="S49" i="48"/>
  <c r="T48" i="48"/>
  <c r="S26" i="51"/>
  <c r="T25" i="51"/>
  <c r="T47" i="46"/>
  <c r="S48" i="46"/>
  <c r="M39" i="49"/>
  <c r="N38" i="49"/>
  <c r="H39" i="49"/>
  <c r="I38" i="49"/>
  <c r="T11" i="57"/>
  <c r="N51" i="47" s="1"/>
  <c r="W51" i="47" s="1"/>
  <c r="S39" i="49"/>
  <c r="T38" i="49"/>
  <c r="N13" i="62"/>
  <c r="M14" i="62"/>
  <c r="N13" i="65"/>
  <c r="M14" i="65"/>
  <c r="H41" i="45"/>
  <c r="I39" i="45"/>
  <c r="S41" i="45"/>
  <c r="T39" i="45"/>
  <c r="N50" i="47"/>
  <c r="W50" i="47" s="1"/>
  <c r="N204" i="66"/>
  <c r="T13" i="52"/>
  <c r="S14" i="52"/>
  <c r="T13" i="54"/>
  <c r="S14" i="54"/>
  <c r="N13" i="55"/>
  <c r="M14" i="55"/>
  <c r="T13" i="62"/>
  <c r="S14" i="62"/>
  <c r="I13" i="62"/>
  <c r="H14" i="62"/>
  <c r="Y203" i="66"/>
  <c r="AB7" i="66"/>
  <c r="N13" i="52"/>
  <c r="M14" i="52"/>
  <c r="I13" i="52"/>
  <c r="H14" i="52"/>
  <c r="N13" i="54"/>
  <c r="M14" i="54"/>
  <c r="T13" i="55"/>
  <c r="S14" i="55"/>
  <c r="M41" i="45"/>
  <c r="N39" i="45"/>
  <c r="AA14" i="47"/>
  <c r="S12" i="60"/>
  <c r="T11" i="60"/>
  <c r="S13" i="57"/>
  <c r="T12" i="57"/>
  <c r="M52" i="47"/>
  <c r="O9" i="51"/>
  <c r="O32" i="44"/>
  <c r="O32" i="48"/>
  <c r="Q27" i="49"/>
  <c r="R27" i="49" s="1"/>
  <c r="T27" i="49" s="1"/>
  <c r="K27" i="49"/>
  <c r="S635" i="66" s="1"/>
  <c r="V635" i="66" s="1"/>
  <c r="F27" i="49"/>
  <c r="I91" i="46" l="1"/>
  <c r="O91" i="46" s="1"/>
  <c r="H95" i="46"/>
  <c r="I95" i="46" s="1"/>
  <c r="O95" i="46" s="1"/>
  <c r="N90" i="46"/>
  <c r="M94" i="46"/>
  <c r="N94" i="46" s="1"/>
  <c r="M93" i="46"/>
  <c r="N93" i="46" s="1"/>
  <c r="O38" i="49"/>
  <c r="O58" i="44"/>
  <c r="I88" i="46"/>
  <c r="O88" i="46" s="1"/>
  <c r="H90" i="46"/>
  <c r="N89" i="46"/>
  <c r="M92" i="46"/>
  <c r="N92" i="46" s="1"/>
  <c r="N205" i="66"/>
  <c r="H89" i="46"/>
  <c r="I87" i="46"/>
  <c r="N60" i="44"/>
  <c r="M62" i="44"/>
  <c r="I60" i="44"/>
  <c r="H62" i="44"/>
  <c r="H61" i="44"/>
  <c r="I59" i="44"/>
  <c r="M61" i="44"/>
  <c r="N59" i="44"/>
  <c r="S60" i="44"/>
  <c r="T58" i="44"/>
  <c r="T57" i="44"/>
  <c r="S59" i="44"/>
  <c r="T49" i="48"/>
  <c r="S50" i="48"/>
  <c r="M28" i="51"/>
  <c r="N27" i="51"/>
  <c r="O27" i="51" s="1"/>
  <c r="T26" i="51"/>
  <c r="S27" i="51"/>
  <c r="H51" i="48"/>
  <c r="I50" i="48"/>
  <c r="M51" i="48"/>
  <c r="N50" i="48"/>
  <c r="O49" i="48"/>
  <c r="I41" i="45"/>
  <c r="H42" i="45"/>
  <c r="S40" i="49"/>
  <c r="T39" i="49"/>
  <c r="M40" i="49"/>
  <c r="N39" i="49"/>
  <c r="N41" i="45"/>
  <c r="M42" i="45"/>
  <c r="T41" i="45"/>
  <c r="S42" i="45"/>
  <c r="S49" i="46"/>
  <c r="T48" i="46"/>
  <c r="H40" i="49"/>
  <c r="I39" i="49"/>
  <c r="K140" i="47"/>
  <c r="K635" i="66"/>
  <c r="N635" i="66" s="1"/>
  <c r="Y635" i="66" s="1"/>
  <c r="S15" i="55"/>
  <c r="T14" i="55"/>
  <c r="H15" i="52"/>
  <c r="I14" i="52"/>
  <c r="S15" i="62"/>
  <c r="T14" i="62"/>
  <c r="S15" i="54"/>
  <c r="T14" i="54"/>
  <c r="Y204" i="66"/>
  <c r="AB8" i="66"/>
  <c r="M15" i="62"/>
  <c r="N14" i="62"/>
  <c r="O140" i="47"/>
  <c r="R140" i="47" s="1"/>
  <c r="O635" i="66"/>
  <c r="R635" i="66" s="1"/>
  <c r="N52" i="47"/>
  <c r="W52" i="47" s="1"/>
  <c r="N206" i="66"/>
  <c r="Y206" i="66" s="1"/>
  <c r="M207" i="66"/>
  <c r="S14" i="57"/>
  <c r="M15" i="54"/>
  <c r="N14" i="54"/>
  <c r="M15" i="52"/>
  <c r="N14" i="52"/>
  <c r="H15" i="62"/>
  <c r="I14" i="62"/>
  <c r="M15" i="55"/>
  <c r="N14" i="55"/>
  <c r="S15" i="52"/>
  <c r="T14" i="52"/>
  <c r="M15" i="65"/>
  <c r="N14" i="65"/>
  <c r="Y205" i="66"/>
  <c r="AB9" i="66"/>
  <c r="T13" i="57"/>
  <c r="M53" i="47"/>
  <c r="G27" i="49"/>
  <c r="I27" i="49" s="1"/>
  <c r="S13" i="60"/>
  <c r="T12" i="60"/>
  <c r="L27" i="49"/>
  <c r="N27" i="49" s="1"/>
  <c r="S140" i="47"/>
  <c r="T132" i="47"/>
  <c r="P132" i="47"/>
  <c r="L132" i="47"/>
  <c r="T125" i="47"/>
  <c r="P125" i="47"/>
  <c r="L125" i="47"/>
  <c r="P111" i="47"/>
  <c r="L111" i="47"/>
  <c r="T104" i="47"/>
  <c r="P104" i="47"/>
  <c r="L104" i="47"/>
  <c r="T97" i="47"/>
  <c r="P97" i="47"/>
  <c r="L97" i="47"/>
  <c r="T90" i="47"/>
  <c r="P90" i="47"/>
  <c r="L90" i="47"/>
  <c r="T83" i="47"/>
  <c r="P83" i="47"/>
  <c r="L83" i="47"/>
  <c r="T76" i="47"/>
  <c r="S76" i="47"/>
  <c r="P76" i="47"/>
  <c r="L76" i="47"/>
  <c r="T55" i="47"/>
  <c r="P55" i="47"/>
  <c r="L55" i="47"/>
  <c r="T48" i="47"/>
  <c r="P48" i="47"/>
  <c r="T41" i="47"/>
  <c r="P41" i="47"/>
  <c r="T34" i="47"/>
  <c r="P34" i="47"/>
  <c r="L34" i="47"/>
  <c r="T27" i="47"/>
  <c r="P27" i="47"/>
  <c r="L27" i="47"/>
  <c r="T20" i="47"/>
  <c r="P20" i="47"/>
  <c r="L20" i="47"/>
  <c r="T13" i="47"/>
  <c r="P13" i="47"/>
  <c r="L13" i="47"/>
  <c r="T6" i="47"/>
  <c r="P6" i="47"/>
  <c r="L6" i="47"/>
  <c r="U140" i="47"/>
  <c r="M140" i="47"/>
  <c r="U132" i="47"/>
  <c r="M132" i="47"/>
  <c r="U125" i="47"/>
  <c r="M125" i="47"/>
  <c r="U111" i="47"/>
  <c r="M111" i="47"/>
  <c r="U104" i="47"/>
  <c r="M104" i="47"/>
  <c r="U97" i="47"/>
  <c r="M97" i="47"/>
  <c r="U90" i="47"/>
  <c r="M90" i="47"/>
  <c r="U83" i="47"/>
  <c r="M83" i="47"/>
  <c r="U76" i="47"/>
  <c r="M76" i="47"/>
  <c r="U55" i="47"/>
  <c r="M55" i="47"/>
  <c r="U48" i="47"/>
  <c r="U41" i="47"/>
  <c r="M41" i="47"/>
  <c r="U34" i="47"/>
  <c r="M34" i="47"/>
  <c r="U27" i="47"/>
  <c r="M27" i="47"/>
  <c r="U20" i="47"/>
  <c r="M20" i="47"/>
  <c r="U13" i="47"/>
  <c r="M13" i="47"/>
  <c r="U6" i="47"/>
  <c r="M6" i="47"/>
  <c r="I90" i="46" l="1"/>
  <c r="O90" i="46" s="1"/>
  <c r="H94" i="46"/>
  <c r="I94" i="46" s="1"/>
  <c r="O94" i="46" s="1"/>
  <c r="H93" i="46"/>
  <c r="I93" i="46" s="1"/>
  <c r="O93" i="46" s="1"/>
  <c r="O87" i="46"/>
  <c r="N96" i="46"/>
  <c r="I89" i="46"/>
  <c r="O89" i="46" s="1"/>
  <c r="H92" i="46"/>
  <c r="I92" i="46" s="1"/>
  <c r="O92" i="46" s="1"/>
  <c r="O50" i="48"/>
  <c r="I61" i="44"/>
  <c r="H63" i="44"/>
  <c r="H64" i="44"/>
  <c r="I62" i="44"/>
  <c r="T60" i="44"/>
  <c r="S62" i="44"/>
  <c r="O59" i="44"/>
  <c r="M64" i="44"/>
  <c r="N62" i="44"/>
  <c r="N61" i="44"/>
  <c r="M63" i="44"/>
  <c r="O60" i="44"/>
  <c r="S61" i="44"/>
  <c r="T59" i="44"/>
  <c r="O27" i="49"/>
  <c r="O41" i="45"/>
  <c r="H52" i="48"/>
  <c r="I51" i="48"/>
  <c r="M29" i="51"/>
  <c r="N28" i="51"/>
  <c r="O28" i="51" s="1"/>
  <c r="S28" i="51"/>
  <c r="T27" i="51"/>
  <c r="S51" i="48"/>
  <c r="T50" i="48"/>
  <c r="M52" i="48"/>
  <c r="N51" i="48"/>
  <c r="M43" i="45"/>
  <c r="N42" i="45"/>
  <c r="S50" i="46"/>
  <c r="T49" i="46"/>
  <c r="S41" i="49"/>
  <c r="T40" i="49"/>
  <c r="N15" i="65"/>
  <c r="M16" i="65"/>
  <c r="S43" i="45"/>
  <c r="T42" i="45"/>
  <c r="O39" i="49"/>
  <c r="H43" i="45"/>
  <c r="I42" i="45"/>
  <c r="H41" i="49"/>
  <c r="I40" i="49"/>
  <c r="M41" i="49"/>
  <c r="N40" i="49"/>
  <c r="M208" i="66"/>
  <c r="S15" i="57"/>
  <c r="M209" i="66" s="1"/>
  <c r="M54" i="47"/>
  <c r="T14" i="57"/>
  <c r="N53" i="47"/>
  <c r="W53" i="47" s="1"/>
  <c r="N207" i="66"/>
  <c r="Y207" i="66" s="1"/>
  <c r="M16" i="55"/>
  <c r="N15" i="55"/>
  <c r="M16" i="52"/>
  <c r="N15" i="52"/>
  <c r="S16" i="62"/>
  <c r="T15" i="62"/>
  <c r="S16" i="55"/>
  <c r="T15" i="55"/>
  <c r="T13" i="60"/>
  <c r="S14" i="60"/>
  <c r="S16" i="52"/>
  <c r="T15" i="52"/>
  <c r="H16" i="62"/>
  <c r="I16" i="62" s="1"/>
  <c r="I15" i="62"/>
  <c r="M16" i="54"/>
  <c r="N15" i="54"/>
  <c r="M16" i="62"/>
  <c r="N15" i="62"/>
  <c r="S16" i="54"/>
  <c r="T15" i="54"/>
  <c r="H16" i="52"/>
  <c r="I16" i="52" s="1"/>
  <c r="I15" i="52"/>
  <c r="V140" i="47"/>
  <c r="U141" i="47"/>
  <c r="M141" i="47"/>
  <c r="N140" i="47"/>
  <c r="W140" i="47" s="1"/>
  <c r="V76" i="47"/>
  <c r="I96" i="46" l="1"/>
  <c r="O96" i="46"/>
  <c r="O61" i="44"/>
  <c r="S64" i="44"/>
  <c r="T62" i="44"/>
  <c r="M65" i="44"/>
  <c r="N63" i="44"/>
  <c r="O62" i="44"/>
  <c r="H67" i="44"/>
  <c r="I64" i="44"/>
  <c r="M67" i="44"/>
  <c r="N64" i="44"/>
  <c r="H65" i="44"/>
  <c r="I63" i="44"/>
  <c r="T61" i="44"/>
  <c r="S63" i="44"/>
  <c r="O51" i="48"/>
  <c r="S52" i="48"/>
  <c r="T51" i="48"/>
  <c r="M31" i="51"/>
  <c r="N29" i="51"/>
  <c r="O29" i="51" s="1"/>
  <c r="M54" i="48"/>
  <c r="N52" i="48"/>
  <c r="S29" i="51"/>
  <c r="T28" i="51"/>
  <c r="H54" i="48"/>
  <c r="I52" i="48"/>
  <c r="O42" i="45"/>
  <c r="M42" i="49"/>
  <c r="N41" i="49"/>
  <c r="H44" i="45"/>
  <c r="I43" i="45"/>
  <c r="N16" i="65"/>
  <c r="M18" i="65"/>
  <c r="T15" i="57"/>
  <c r="N209" i="66" s="1"/>
  <c r="Y209" i="66" s="1"/>
  <c r="S16" i="57"/>
  <c r="M210" i="66" s="1"/>
  <c r="S51" i="46"/>
  <c r="T50" i="46"/>
  <c r="H42" i="49"/>
  <c r="I41" i="49"/>
  <c r="O40" i="49"/>
  <c r="S44" i="45"/>
  <c r="T43" i="45"/>
  <c r="S42" i="49"/>
  <c r="T41" i="49"/>
  <c r="M44" i="45"/>
  <c r="N43" i="45"/>
  <c r="M18" i="62"/>
  <c r="N16" i="62"/>
  <c r="S15" i="60"/>
  <c r="T14" i="60"/>
  <c r="N208" i="66"/>
  <c r="Y208" i="66" s="1"/>
  <c r="N54" i="47"/>
  <c r="W54" i="47" s="1"/>
  <c r="S18" i="62"/>
  <c r="T16" i="62"/>
  <c r="M18" i="55"/>
  <c r="N16" i="55"/>
  <c r="S18" i="54"/>
  <c r="T16" i="54"/>
  <c r="M18" i="54"/>
  <c r="N16" i="54"/>
  <c r="S18" i="52"/>
  <c r="T16" i="52"/>
  <c r="S18" i="55"/>
  <c r="T16" i="55"/>
  <c r="M18" i="52"/>
  <c r="N16" i="52"/>
  <c r="N141" i="47"/>
  <c r="W141" i="47" s="1"/>
  <c r="M142" i="47"/>
  <c r="V141" i="47"/>
  <c r="U142" i="47"/>
  <c r="Q8" i="59"/>
  <c r="K270" i="66" s="1"/>
  <c r="N270" i="66" s="1"/>
  <c r="Y270" i="66" s="1"/>
  <c r="O64" i="44" l="1"/>
  <c r="I67" i="44"/>
  <c r="H69" i="44"/>
  <c r="H68" i="44"/>
  <c r="I65" i="44"/>
  <c r="O63" i="44"/>
  <c r="M68" i="44"/>
  <c r="N65" i="44"/>
  <c r="M69" i="44"/>
  <c r="N67" i="44"/>
  <c r="S65" i="44"/>
  <c r="T63" i="44"/>
  <c r="S67" i="44"/>
  <c r="T64" i="44"/>
  <c r="O43" i="45"/>
  <c r="N54" i="48"/>
  <c r="M55" i="48"/>
  <c r="N31" i="51"/>
  <c r="O31" i="51" s="1"/>
  <c r="M32" i="51"/>
  <c r="I54" i="48"/>
  <c r="H55" i="48"/>
  <c r="S31" i="51"/>
  <c r="T29" i="51"/>
  <c r="O52" i="48"/>
  <c r="S54" i="48"/>
  <c r="T52" i="48"/>
  <c r="I42" i="49"/>
  <c r="H43" i="49"/>
  <c r="N42" i="49"/>
  <c r="M43" i="49"/>
  <c r="T42" i="49"/>
  <c r="S43" i="49"/>
  <c r="T18" i="55"/>
  <c r="S19" i="55"/>
  <c r="N18" i="54"/>
  <c r="O18" i="54" s="1"/>
  <c r="M19" i="54"/>
  <c r="N18" i="55"/>
  <c r="O18" i="55" s="1"/>
  <c r="M19" i="55"/>
  <c r="N18" i="62"/>
  <c r="O18" i="62" s="1"/>
  <c r="M19" i="62"/>
  <c r="T16" i="57"/>
  <c r="N210" i="66" s="1"/>
  <c r="Y210" i="66" s="1"/>
  <c r="S18" i="57"/>
  <c r="M212" i="66" s="1"/>
  <c r="H45" i="45"/>
  <c r="I44" i="45"/>
  <c r="N18" i="52"/>
  <c r="O18" i="52" s="1"/>
  <c r="M19" i="52"/>
  <c r="T18" i="52"/>
  <c r="S19" i="52"/>
  <c r="T18" i="54"/>
  <c r="S19" i="54"/>
  <c r="T18" i="62"/>
  <c r="S19" i="62"/>
  <c r="M45" i="45"/>
  <c r="N44" i="45"/>
  <c r="S45" i="45"/>
  <c r="T44" i="45"/>
  <c r="M19" i="65"/>
  <c r="M20" i="65"/>
  <c r="N18" i="65"/>
  <c r="O18" i="65" s="1"/>
  <c r="O41" i="49"/>
  <c r="S52" i="46"/>
  <c r="T51" i="46"/>
  <c r="S16" i="60"/>
  <c r="T15" i="60"/>
  <c r="K62" i="47"/>
  <c r="N62" i="47" s="1"/>
  <c r="W62" i="47" s="1"/>
  <c r="Z7" i="47"/>
  <c r="V142" i="47"/>
  <c r="U143" i="47"/>
  <c r="N142" i="47"/>
  <c r="W142" i="47" s="1"/>
  <c r="M143" i="47"/>
  <c r="Q8" i="51"/>
  <c r="K8" i="51"/>
  <c r="F8" i="51"/>
  <c r="Q8" i="52"/>
  <c r="K8" i="52"/>
  <c r="F8" i="52"/>
  <c r="Q8" i="62"/>
  <c r="K8" i="62"/>
  <c r="F8" i="62"/>
  <c r="Q8" i="55"/>
  <c r="R8" i="55" s="1"/>
  <c r="T8" i="55" s="1"/>
  <c r="Q8" i="61"/>
  <c r="R8" i="61" s="1"/>
  <c r="S8" i="61"/>
  <c r="S9" i="61" s="1"/>
  <c r="M8" i="61"/>
  <c r="M9" i="61" s="1"/>
  <c r="L8" i="61"/>
  <c r="H8" i="61"/>
  <c r="H9" i="61" s="1"/>
  <c r="F8" i="61"/>
  <c r="G8" i="61" s="1"/>
  <c r="K8" i="55"/>
  <c r="F8" i="55"/>
  <c r="Q8" i="54"/>
  <c r="K8" i="54"/>
  <c r="H8" i="54"/>
  <c r="H9" i="54" s="1"/>
  <c r="F8" i="54"/>
  <c r="Q8" i="53"/>
  <c r="S8" i="53"/>
  <c r="S9" i="53" s="1"/>
  <c r="M8" i="53"/>
  <c r="M9" i="53" s="1"/>
  <c r="K8" i="53"/>
  <c r="H8" i="53"/>
  <c r="H9" i="53" s="1"/>
  <c r="F8" i="53"/>
  <c r="S8" i="56"/>
  <c r="S9" i="56" s="1"/>
  <c r="Q8" i="56"/>
  <c r="M8" i="56"/>
  <c r="M9" i="56" s="1"/>
  <c r="K8" i="56"/>
  <c r="H8" i="56"/>
  <c r="H9" i="56" s="1"/>
  <c r="F8" i="56"/>
  <c r="S8" i="63"/>
  <c r="K8" i="63"/>
  <c r="M8" i="63"/>
  <c r="M9" i="63" s="1"/>
  <c r="H8" i="63"/>
  <c r="H9" i="63" s="1"/>
  <c r="F8" i="63"/>
  <c r="S8" i="58"/>
  <c r="S9" i="58" s="1"/>
  <c r="Q8" i="58"/>
  <c r="K8" i="58"/>
  <c r="M8" i="58"/>
  <c r="M9" i="58" s="1"/>
  <c r="F8" i="58"/>
  <c r="H8" i="58"/>
  <c r="H9" i="58" s="1"/>
  <c r="R8" i="57"/>
  <c r="T8" i="57" s="1"/>
  <c r="M8" i="57"/>
  <c r="M9" i="57" s="1"/>
  <c r="K8" i="57"/>
  <c r="H8" i="57"/>
  <c r="H9" i="57" s="1"/>
  <c r="F8" i="57"/>
  <c r="K8" i="59"/>
  <c r="S270" i="66" s="1"/>
  <c r="V270" i="66" s="1"/>
  <c r="S8" i="59"/>
  <c r="S9" i="59" s="1"/>
  <c r="R8" i="59"/>
  <c r="M8" i="59"/>
  <c r="M9" i="59" s="1"/>
  <c r="H8" i="59"/>
  <c r="H9" i="59" s="1"/>
  <c r="F8" i="59"/>
  <c r="O270" i="66" s="1"/>
  <c r="R270" i="66" s="1"/>
  <c r="H8" i="65"/>
  <c r="H9" i="65" s="1"/>
  <c r="F8" i="65"/>
  <c r="K8" i="65"/>
  <c r="S8" i="65"/>
  <c r="S9" i="65" s="1"/>
  <c r="Q8" i="65"/>
  <c r="S8" i="64"/>
  <c r="S9" i="64" s="1"/>
  <c r="Q8" i="64"/>
  <c r="K436" i="66" s="1"/>
  <c r="N436" i="66" s="1"/>
  <c r="Y436" i="66" s="1"/>
  <c r="M8" i="64"/>
  <c r="M9" i="64" s="1"/>
  <c r="K8" i="64"/>
  <c r="S436" i="66" s="1"/>
  <c r="V436" i="66" s="1"/>
  <c r="H8" i="64"/>
  <c r="H9" i="64" s="1"/>
  <c r="F8" i="64"/>
  <c r="O436" i="66" s="1"/>
  <c r="R436" i="66" s="1"/>
  <c r="M8" i="60"/>
  <c r="M9" i="60" s="1"/>
  <c r="H8" i="60"/>
  <c r="H9" i="60" s="1"/>
  <c r="Q8" i="60"/>
  <c r="K8" i="60"/>
  <c r="F8" i="60"/>
  <c r="O42" i="49" l="1"/>
  <c r="S69" i="44"/>
  <c r="T67" i="44"/>
  <c r="M70" i="44"/>
  <c r="N68" i="44"/>
  <c r="S68" i="44"/>
  <c r="T65" i="44"/>
  <c r="H70" i="44"/>
  <c r="I68" i="44"/>
  <c r="M71" i="44"/>
  <c r="N69" i="44"/>
  <c r="H71" i="44"/>
  <c r="I69" i="44"/>
  <c r="O65" i="44"/>
  <c r="O67" i="44"/>
  <c r="O54" i="48"/>
  <c r="H56" i="48"/>
  <c r="I55" i="48"/>
  <c r="T54" i="48"/>
  <c r="S55" i="48"/>
  <c r="L8" i="59"/>
  <c r="N8" i="59" s="1"/>
  <c r="M33" i="51"/>
  <c r="N32" i="51"/>
  <c r="O32" i="51" s="1"/>
  <c r="M56" i="48"/>
  <c r="N55" i="48"/>
  <c r="T31" i="51"/>
  <c r="S32" i="51"/>
  <c r="O44" i="45"/>
  <c r="M44" i="49"/>
  <c r="N43" i="49"/>
  <c r="T52" i="46"/>
  <c r="S53" i="46"/>
  <c r="S44" i="49"/>
  <c r="T43" i="49"/>
  <c r="H44" i="49"/>
  <c r="I43" i="49"/>
  <c r="S20" i="62"/>
  <c r="T19" i="62"/>
  <c r="S20" i="52"/>
  <c r="T19" i="52"/>
  <c r="M20" i="62"/>
  <c r="N19" i="62"/>
  <c r="O19" i="62" s="1"/>
  <c r="M20" i="54"/>
  <c r="N19" i="54"/>
  <c r="O19" i="54" s="1"/>
  <c r="S46" i="45"/>
  <c r="T45" i="45"/>
  <c r="H46" i="45"/>
  <c r="I45" i="45"/>
  <c r="M22" i="65"/>
  <c r="N20" i="65"/>
  <c r="O20" i="65" s="1"/>
  <c r="S20" i="54"/>
  <c r="T19" i="54"/>
  <c r="M20" i="52"/>
  <c r="N19" i="52"/>
  <c r="O19" i="52" s="1"/>
  <c r="S19" i="57"/>
  <c r="M213" i="66" s="1"/>
  <c r="T18" i="57"/>
  <c r="N212" i="66" s="1"/>
  <c r="Y212" i="66" s="1"/>
  <c r="M20" i="55"/>
  <c r="N19" i="55"/>
  <c r="O19" i="55" s="1"/>
  <c r="S20" i="55"/>
  <c r="T19" i="55"/>
  <c r="M21" i="65"/>
  <c r="N19" i="65"/>
  <c r="O19" i="65" s="1"/>
  <c r="M46" i="45"/>
  <c r="N45" i="45"/>
  <c r="S69" i="47"/>
  <c r="V69" i="47" s="1"/>
  <c r="S303" i="66"/>
  <c r="V303" i="66" s="1"/>
  <c r="K69" i="47"/>
  <c r="N69" i="47" s="1"/>
  <c r="W69" i="47" s="1"/>
  <c r="K303" i="66"/>
  <c r="N303" i="66" s="1"/>
  <c r="Y303" i="66" s="1"/>
  <c r="O104" i="47"/>
  <c r="R104" i="47" s="1"/>
  <c r="O469" i="66"/>
  <c r="R469" i="66" s="1"/>
  <c r="S48" i="47"/>
  <c r="V48" i="47" s="1"/>
  <c r="S202" i="66"/>
  <c r="V202" i="66" s="1"/>
  <c r="O55" i="47"/>
  <c r="R55" i="47" s="1"/>
  <c r="O237" i="66"/>
  <c r="R237" i="66" s="1"/>
  <c r="S90" i="47"/>
  <c r="V90" i="47" s="1"/>
  <c r="S403" i="66"/>
  <c r="V403" i="66" s="1"/>
  <c r="S41" i="47"/>
  <c r="V41" i="47" s="1"/>
  <c r="S169" i="66"/>
  <c r="V169" i="66" s="1"/>
  <c r="O20" i="47"/>
  <c r="R20" i="47" s="1"/>
  <c r="O71" i="66"/>
  <c r="R71" i="66" s="1"/>
  <c r="S27" i="47"/>
  <c r="V27" i="47" s="1"/>
  <c r="S103" i="66"/>
  <c r="V103" i="66" s="1"/>
  <c r="O34" i="47"/>
  <c r="R34" i="47" s="1"/>
  <c r="O136" i="66"/>
  <c r="R136" i="66" s="1"/>
  <c r="S83" i="47"/>
  <c r="V83" i="47" s="1"/>
  <c r="S370" i="66"/>
  <c r="V370" i="66" s="1"/>
  <c r="K13" i="47"/>
  <c r="N13" i="47" s="1"/>
  <c r="W13" i="47" s="1"/>
  <c r="K38" i="66"/>
  <c r="N38" i="66" s="1"/>
  <c r="Y38" i="66" s="1"/>
  <c r="O97" i="47"/>
  <c r="R97" i="47" s="1"/>
  <c r="S97" i="47"/>
  <c r="V97" i="47" s="1"/>
  <c r="K104" i="47"/>
  <c r="N104" i="47" s="1"/>
  <c r="W104" i="47" s="1"/>
  <c r="K469" i="66"/>
  <c r="N469" i="66" s="1"/>
  <c r="Y469" i="66" s="1"/>
  <c r="G8" i="65"/>
  <c r="I8" i="65" s="1"/>
  <c r="S62" i="47"/>
  <c r="V62" i="47" s="1"/>
  <c r="O90" i="47"/>
  <c r="R90" i="47" s="1"/>
  <c r="O403" i="66"/>
  <c r="R403" i="66" s="1"/>
  <c r="K20" i="47"/>
  <c r="N20" i="47" s="1"/>
  <c r="W20" i="47" s="1"/>
  <c r="K71" i="66"/>
  <c r="N71" i="66" s="1"/>
  <c r="K27" i="47"/>
  <c r="N27" i="47" s="1"/>
  <c r="W27" i="47" s="1"/>
  <c r="K103" i="66"/>
  <c r="N103" i="66" s="1"/>
  <c r="Y103" i="66" s="1"/>
  <c r="S34" i="47"/>
  <c r="V34" i="47" s="1"/>
  <c r="S136" i="66"/>
  <c r="V136" i="66" s="1"/>
  <c r="K76" i="47"/>
  <c r="N76" i="47" s="1"/>
  <c r="W76" i="47" s="1"/>
  <c r="K336" i="66"/>
  <c r="N336" i="66" s="1"/>
  <c r="Y336" i="66" s="1"/>
  <c r="K83" i="47"/>
  <c r="N83" i="47" s="1"/>
  <c r="W83" i="47" s="1"/>
  <c r="K370" i="66"/>
  <c r="N370" i="66" s="1"/>
  <c r="Y370" i="66" s="1"/>
  <c r="O6" i="47"/>
  <c r="R6" i="47" s="1"/>
  <c r="O6" i="66"/>
  <c r="R6" i="66" s="1"/>
  <c r="O69" i="47"/>
  <c r="R69" i="47" s="1"/>
  <c r="O303" i="66"/>
  <c r="R303" i="66" s="1"/>
  <c r="O48" i="47"/>
  <c r="R48" i="47" s="1"/>
  <c r="O202" i="66"/>
  <c r="R202" i="66" s="1"/>
  <c r="N48" i="47"/>
  <c r="W48" i="47" s="1"/>
  <c r="N202" i="66"/>
  <c r="Y202" i="66" s="1"/>
  <c r="S55" i="47"/>
  <c r="V55" i="47" s="1"/>
  <c r="S237" i="66"/>
  <c r="V237" i="66" s="1"/>
  <c r="O41" i="47"/>
  <c r="R41" i="47" s="1"/>
  <c r="O169" i="66"/>
  <c r="R169" i="66" s="1"/>
  <c r="K41" i="47"/>
  <c r="N41" i="47" s="1"/>
  <c r="W41" i="47" s="1"/>
  <c r="K169" i="66"/>
  <c r="N169" i="66" s="1"/>
  <c r="Y169" i="66" s="1"/>
  <c r="S20" i="47"/>
  <c r="V20" i="47" s="1"/>
  <c r="S71" i="66"/>
  <c r="V71" i="66" s="1"/>
  <c r="O27" i="47"/>
  <c r="R27" i="47" s="1"/>
  <c r="O103" i="66"/>
  <c r="R103" i="66" s="1"/>
  <c r="O76" i="47"/>
  <c r="R76" i="47" s="1"/>
  <c r="O336" i="66"/>
  <c r="R336" i="66" s="1"/>
  <c r="K34" i="47"/>
  <c r="N34" i="47" s="1"/>
  <c r="W34" i="47" s="1"/>
  <c r="K136" i="66"/>
  <c r="N136" i="66" s="1"/>
  <c r="Y136" i="66" s="1"/>
  <c r="O13" i="47"/>
  <c r="R13" i="47" s="1"/>
  <c r="O38" i="66"/>
  <c r="R38" i="66" s="1"/>
  <c r="S6" i="47"/>
  <c r="V6" i="47" s="1"/>
  <c r="S6" i="66"/>
  <c r="V6" i="66" s="1"/>
  <c r="S18" i="60"/>
  <c r="T16" i="60"/>
  <c r="K97" i="47"/>
  <c r="N97" i="47" s="1"/>
  <c r="W97" i="47" s="1"/>
  <c r="S104" i="47"/>
  <c r="V104" i="47" s="1"/>
  <c r="S469" i="66"/>
  <c r="V469" i="66" s="1"/>
  <c r="O62" i="47"/>
  <c r="R62" i="47" s="1"/>
  <c r="K55" i="47"/>
  <c r="N55" i="47" s="1"/>
  <c r="W55" i="47" s="1"/>
  <c r="K237" i="66"/>
  <c r="N237" i="66" s="1"/>
  <c r="Y237" i="66" s="1"/>
  <c r="G8" i="55"/>
  <c r="I8" i="55" s="1"/>
  <c r="I8" i="61"/>
  <c r="O83" i="47"/>
  <c r="R83" i="47" s="1"/>
  <c r="O370" i="66"/>
  <c r="R370" i="66" s="1"/>
  <c r="S13" i="47"/>
  <c r="V13" i="47" s="1"/>
  <c r="S38" i="66"/>
  <c r="V38" i="66" s="1"/>
  <c r="K6" i="47"/>
  <c r="N6" i="47" s="1"/>
  <c r="W6" i="47" s="1"/>
  <c r="K6" i="66"/>
  <c r="N6" i="66" s="1"/>
  <c r="Y6" i="66" s="1"/>
  <c r="L8" i="65"/>
  <c r="N8" i="65" s="1"/>
  <c r="L8" i="58"/>
  <c r="N8" i="58" s="1"/>
  <c r="L8" i="51"/>
  <c r="N8" i="51" s="1"/>
  <c r="L8" i="57"/>
  <c r="N8" i="57" s="1"/>
  <c r="G8" i="58"/>
  <c r="I8" i="58" s="1"/>
  <c r="N8" i="61"/>
  <c r="V143" i="47"/>
  <c r="U144" i="47"/>
  <c r="N143" i="47"/>
  <c r="W143" i="47" s="1"/>
  <c r="M144" i="47"/>
  <c r="L8" i="62"/>
  <c r="N8" i="62" s="1"/>
  <c r="T9" i="58"/>
  <c r="S10" i="58"/>
  <c r="N9" i="58"/>
  <c r="M10" i="58"/>
  <c r="I9" i="58"/>
  <c r="H10" i="58"/>
  <c r="R8" i="54"/>
  <c r="T8" i="54" s="1"/>
  <c r="L8" i="54"/>
  <c r="N8" i="54" s="1"/>
  <c r="R8" i="53"/>
  <c r="T8" i="53" s="1"/>
  <c r="G8" i="53"/>
  <c r="I8" i="53" s="1"/>
  <c r="Z8" i="47"/>
  <c r="G8" i="63"/>
  <c r="I8" i="63" s="1"/>
  <c r="R8" i="56"/>
  <c r="T8" i="56" s="1"/>
  <c r="L8" i="64"/>
  <c r="N8" i="64" s="1"/>
  <c r="M10" i="64"/>
  <c r="N9" i="64"/>
  <c r="N9" i="59"/>
  <c r="M10" i="59"/>
  <c r="R8" i="58"/>
  <c r="T8" i="58" s="1"/>
  <c r="H10" i="63"/>
  <c r="I9" i="63"/>
  <c r="M10" i="53"/>
  <c r="N9" i="53"/>
  <c r="L8" i="52"/>
  <c r="N8" i="52" s="1"/>
  <c r="H10" i="64"/>
  <c r="I9" i="64"/>
  <c r="H10" i="60"/>
  <c r="I9" i="60"/>
  <c r="G8" i="64"/>
  <c r="I8" i="64" s="1"/>
  <c r="R8" i="64"/>
  <c r="T8" i="64" s="1"/>
  <c r="R8" i="65"/>
  <c r="T8" i="65" s="1"/>
  <c r="G8" i="60"/>
  <c r="I8" i="60" s="1"/>
  <c r="M10" i="60"/>
  <c r="N9" i="60"/>
  <c r="S10" i="64"/>
  <c r="T9" i="64"/>
  <c r="S10" i="65"/>
  <c r="T9" i="65"/>
  <c r="G8" i="59"/>
  <c r="I8" i="59" s="1"/>
  <c r="T8" i="59"/>
  <c r="G8" i="57"/>
  <c r="I8" i="57" s="1"/>
  <c r="M10" i="57"/>
  <c r="N9" i="57"/>
  <c r="L8" i="63"/>
  <c r="N8" i="63" s="1"/>
  <c r="G8" i="56"/>
  <c r="I8" i="56" s="1"/>
  <c r="L8" i="56"/>
  <c r="N8" i="56" s="1"/>
  <c r="G8" i="54"/>
  <c r="I8" i="54" s="1"/>
  <c r="M10" i="61"/>
  <c r="N9" i="61"/>
  <c r="G8" i="62"/>
  <c r="I8" i="62" s="1"/>
  <c r="R8" i="52"/>
  <c r="T8" i="52" s="1"/>
  <c r="G8" i="51"/>
  <c r="I8" i="51" s="1"/>
  <c r="I9" i="59"/>
  <c r="H10" i="59"/>
  <c r="T9" i="59"/>
  <c r="S10" i="59"/>
  <c r="H10" i="57"/>
  <c r="I9" i="57"/>
  <c r="M10" i="63"/>
  <c r="N9" i="63"/>
  <c r="S9" i="63"/>
  <c r="H10" i="56"/>
  <c r="I9" i="56"/>
  <c r="M10" i="56"/>
  <c r="N9" i="56"/>
  <c r="S10" i="56"/>
  <c r="T9" i="56"/>
  <c r="H10" i="53"/>
  <c r="I9" i="53"/>
  <c r="S10" i="53"/>
  <c r="T9" i="53"/>
  <c r="H10" i="54"/>
  <c r="I9" i="54"/>
  <c r="O9" i="54" s="1"/>
  <c r="L8" i="60"/>
  <c r="N8" i="60" s="1"/>
  <c r="O8" i="60" s="1"/>
  <c r="R8" i="60"/>
  <c r="T8" i="60" s="1"/>
  <c r="H10" i="65"/>
  <c r="I9" i="65"/>
  <c r="L8" i="55"/>
  <c r="N8" i="55" s="1"/>
  <c r="O8" i="55" s="1"/>
  <c r="O10" i="55" s="1"/>
  <c r="O12" i="55" s="1"/>
  <c r="O14" i="55" s="1"/>
  <c r="O16" i="55" s="1"/>
  <c r="H10" i="61"/>
  <c r="I9" i="61"/>
  <c r="S10" i="61"/>
  <c r="T9" i="61"/>
  <c r="R8" i="62"/>
  <c r="T8" i="62" s="1"/>
  <c r="G8" i="52"/>
  <c r="I8" i="52" s="1"/>
  <c r="R8" i="51"/>
  <c r="T8" i="51" s="1"/>
  <c r="L8" i="53"/>
  <c r="N8" i="53" s="1"/>
  <c r="T8" i="61"/>
  <c r="O69" i="44" l="1"/>
  <c r="O68" i="44"/>
  <c r="AA13" i="47"/>
  <c r="I71" i="44"/>
  <c r="H73" i="44"/>
  <c r="S70" i="44"/>
  <c r="T68" i="44"/>
  <c r="M73" i="44"/>
  <c r="N71" i="44"/>
  <c r="M72" i="44"/>
  <c r="N70" i="44"/>
  <c r="H72" i="44"/>
  <c r="I70" i="44"/>
  <c r="S71" i="44"/>
  <c r="T69" i="44"/>
  <c r="O8" i="65"/>
  <c r="O10" i="65" s="1"/>
  <c r="O12" i="65" s="1"/>
  <c r="O14" i="65" s="1"/>
  <c r="O16" i="65" s="1"/>
  <c r="O8" i="61"/>
  <c r="O10" i="61" s="1"/>
  <c r="O12" i="61" s="1"/>
  <c r="O14" i="61" s="1"/>
  <c r="O16" i="61" s="1"/>
  <c r="O45" i="45"/>
  <c r="O8" i="58"/>
  <c r="O10" i="58" s="1"/>
  <c r="O8" i="53"/>
  <c r="O10" i="53" s="1"/>
  <c r="O12" i="53" s="1"/>
  <c r="O14" i="53" s="1"/>
  <c r="O16" i="53" s="1"/>
  <c r="M34" i="51"/>
  <c r="N33" i="51"/>
  <c r="O33" i="51" s="1"/>
  <c r="S33" i="51"/>
  <c r="T32" i="51"/>
  <c r="S56" i="48"/>
  <c r="T55" i="48"/>
  <c r="O43" i="49"/>
  <c r="M57" i="48"/>
  <c r="N56" i="48"/>
  <c r="O55" i="48"/>
  <c r="H57" i="48"/>
  <c r="I56" i="48"/>
  <c r="O8" i="62"/>
  <c r="O10" i="62" s="1"/>
  <c r="O12" i="62" s="1"/>
  <c r="O14" i="62" s="1"/>
  <c r="O16" i="62" s="1"/>
  <c r="N46" i="45"/>
  <c r="M47" i="45"/>
  <c r="I46" i="45"/>
  <c r="H47" i="45"/>
  <c r="H45" i="49"/>
  <c r="I44" i="49"/>
  <c r="N21" i="65"/>
  <c r="O21" i="65" s="1"/>
  <c r="M23" i="65"/>
  <c r="N22" i="65"/>
  <c r="O22" i="65" s="1"/>
  <c r="M24" i="65"/>
  <c r="T46" i="45"/>
  <c r="S47" i="45"/>
  <c r="S45" i="49"/>
  <c r="T44" i="49"/>
  <c r="M45" i="49"/>
  <c r="N44" i="49"/>
  <c r="S54" i="46"/>
  <c r="T53" i="46"/>
  <c r="O8" i="63"/>
  <c r="O10" i="63" s="1"/>
  <c r="O12" i="63" s="1"/>
  <c r="O14" i="63" s="1"/>
  <c r="O16" i="63" s="1"/>
  <c r="S21" i="55"/>
  <c r="T20" i="55"/>
  <c r="S20" i="57"/>
  <c r="M214" i="66" s="1"/>
  <c r="T19" i="57"/>
  <c r="N213" i="66" s="1"/>
  <c r="Y213" i="66" s="1"/>
  <c r="S21" i="54"/>
  <c r="T20" i="54"/>
  <c r="M21" i="54"/>
  <c r="N20" i="54"/>
  <c r="O20" i="54" s="1"/>
  <c r="S21" i="52"/>
  <c r="T20" i="52"/>
  <c r="T18" i="60"/>
  <c r="S19" i="60"/>
  <c r="M21" i="55"/>
  <c r="N20" i="55"/>
  <c r="O20" i="55" s="1"/>
  <c r="M21" i="52"/>
  <c r="N20" i="52"/>
  <c r="O20" i="52" s="1"/>
  <c r="M21" i="62"/>
  <c r="N20" i="62"/>
  <c r="O20" i="62" s="1"/>
  <c r="S21" i="62"/>
  <c r="T20" i="62"/>
  <c r="AC38" i="66"/>
  <c r="O8" i="51"/>
  <c r="O8" i="57"/>
  <c r="O10" i="57" s="1"/>
  <c r="O12" i="57" s="1"/>
  <c r="O14" i="57" s="1"/>
  <c r="O16" i="57" s="1"/>
  <c r="Y71" i="66"/>
  <c r="Z9" i="47"/>
  <c r="N144" i="47"/>
  <c r="W144" i="47" s="1"/>
  <c r="M145" i="47"/>
  <c r="V144" i="47"/>
  <c r="U145" i="47"/>
  <c r="T10" i="65"/>
  <c r="S11" i="65"/>
  <c r="I10" i="65"/>
  <c r="H11" i="65"/>
  <c r="I10" i="64"/>
  <c r="H11" i="64"/>
  <c r="N10" i="64"/>
  <c r="M11" i="64"/>
  <c r="T10" i="64"/>
  <c r="S11" i="64"/>
  <c r="T10" i="61"/>
  <c r="S11" i="61"/>
  <c r="N10" i="61"/>
  <c r="M11" i="61"/>
  <c r="I10" i="61"/>
  <c r="H11" i="61"/>
  <c r="O9" i="60"/>
  <c r="I10" i="60"/>
  <c r="H11" i="60"/>
  <c r="N10" i="60"/>
  <c r="M11" i="60"/>
  <c r="T10" i="59"/>
  <c r="S11" i="59"/>
  <c r="I10" i="59"/>
  <c r="H11" i="59"/>
  <c r="O8" i="59"/>
  <c r="O10" i="59" s="1"/>
  <c r="O12" i="59" s="1"/>
  <c r="O14" i="59" s="1"/>
  <c r="O16" i="59" s="1"/>
  <c r="N10" i="59"/>
  <c r="M11" i="59"/>
  <c r="M11" i="58"/>
  <c r="N10" i="58"/>
  <c r="H11" i="58"/>
  <c r="I10" i="58"/>
  <c r="S11" i="58"/>
  <c r="T10" i="58"/>
  <c r="I10" i="57"/>
  <c r="H11" i="57"/>
  <c r="N10" i="57"/>
  <c r="M11" i="57"/>
  <c r="T10" i="56"/>
  <c r="S11" i="56"/>
  <c r="I10" i="56"/>
  <c r="H11" i="56"/>
  <c r="N10" i="56"/>
  <c r="M11" i="56"/>
  <c r="O8" i="54"/>
  <c r="I10" i="54"/>
  <c r="O10" i="54" s="1"/>
  <c r="H11" i="54"/>
  <c r="I10" i="53"/>
  <c r="H11" i="53"/>
  <c r="T10" i="53"/>
  <c r="S11" i="53"/>
  <c r="N10" i="53"/>
  <c r="M11" i="53"/>
  <c r="N10" i="63"/>
  <c r="M11" i="63"/>
  <c r="I10" i="63"/>
  <c r="H11" i="63"/>
  <c r="O8" i="56"/>
  <c r="O10" i="56" s="1"/>
  <c r="O12" i="56" s="1"/>
  <c r="O14" i="56" s="1"/>
  <c r="O16" i="56" s="1"/>
  <c r="S10" i="63"/>
  <c r="T9" i="63"/>
  <c r="O8" i="52"/>
  <c r="O10" i="52" s="1"/>
  <c r="O12" i="52" s="1"/>
  <c r="O14" i="52" s="1"/>
  <c r="O16" i="52" s="1"/>
  <c r="O8" i="64"/>
  <c r="O10" i="64" s="1"/>
  <c r="O12" i="64" s="1"/>
  <c r="O14" i="64" s="1"/>
  <c r="O16" i="64" s="1"/>
  <c r="Q31" i="48"/>
  <c r="K602" i="66" s="1"/>
  <c r="N602" i="66" s="1"/>
  <c r="Y602" i="66" s="1"/>
  <c r="K31" i="48"/>
  <c r="F31" i="48"/>
  <c r="G31" i="48" s="1"/>
  <c r="I31" i="48" s="1"/>
  <c r="Q31" i="44"/>
  <c r="K31" i="44"/>
  <c r="F31" i="44"/>
  <c r="Q31" i="45"/>
  <c r="K31" i="45"/>
  <c r="S568" i="66" s="1"/>
  <c r="V568" i="66" s="1"/>
  <c r="F31" i="45"/>
  <c r="K37" i="46"/>
  <c r="Q37" i="46"/>
  <c r="K501" i="66" s="1"/>
  <c r="N501" i="66" s="1"/>
  <c r="Y501" i="66" s="1"/>
  <c r="F37" i="46"/>
  <c r="O71" i="44" l="1"/>
  <c r="I72" i="44"/>
  <c r="H74" i="44"/>
  <c r="I73" i="44"/>
  <c r="H75" i="44"/>
  <c r="N73" i="44"/>
  <c r="M75" i="44"/>
  <c r="N72" i="44"/>
  <c r="M74" i="44"/>
  <c r="S73" i="44"/>
  <c r="T71" i="44"/>
  <c r="S72" i="44"/>
  <c r="T70" i="44"/>
  <c r="O70" i="44"/>
  <c r="N57" i="48"/>
  <c r="M58" i="48"/>
  <c r="I57" i="48"/>
  <c r="H58" i="48"/>
  <c r="N34" i="51"/>
  <c r="O34" i="51" s="1"/>
  <c r="M35" i="51"/>
  <c r="S57" i="48"/>
  <c r="T56" i="48"/>
  <c r="O56" i="48"/>
  <c r="S34" i="51"/>
  <c r="T33" i="51"/>
  <c r="N45" i="49"/>
  <c r="M46" i="49"/>
  <c r="T45" i="49"/>
  <c r="S46" i="49"/>
  <c r="I45" i="49"/>
  <c r="H46" i="49"/>
  <c r="O46" i="45"/>
  <c r="O44" i="49"/>
  <c r="S48" i="45"/>
  <c r="T47" i="45"/>
  <c r="M25" i="65"/>
  <c r="N23" i="65"/>
  <c r="O23" i="65" s="1"/>
  <c r="H48" i="45"/>
  <c r="I47" i="45"/>
  <c r="M26" i="65"/>
  <c r="N24" i="65"/>
  <c r="O24" i="65" s="1"/>
  <c r="M48" i="45"/>
  <c r="N47" i="45"/>
  <c r="S55" i="46"/>
  <c r="T54" i="46"/>
  <c r="S22" i="62"/>
  <c r="T21" i="62"/>
  <c r="M22" i="52"/>
  <c r="N21" i="52"/>
  <c r="O21" i="52" s="1"/>
  <c r="M22" i="54"/>
  <c r="N21" i="54"/>
  <c r="O21" i="54" s="1"/>
  <c r="S21" i="57"/>
  <c r="M215" i="66" s="1"/>
  <c r="T20" i="57"/>
  <c r="N214" i="66" s="1"/>
  <c r="Y214" i="66" s="1"/>
  <c r="M22" i="62"/>
  <c r="N21" i="62"/>
  <c r="O21" i="62" s="1"/>
  <c r="M22" i="55"/>
  <c r="N21" i="55"/>
  <c r="O21" i="55" s="1"/>
  <c r="S22" i="52"/>
  <c r="T21" i="52"/>
  <c r="S22" i="54"/>
  <c r="T21" i="54"/>
  <c r="S22" i="55"/>
  <c r="T21" i="55"/>
  <c r="S20" i="60"/>
  <c r="T19" i="60"/>
  <c r="O111" i="47"/>
  <c r="R111" i="47" s="1"/>
  <c r="O501" i="66"/>
  <c r="R501" i="66" s="1"/>
  <c r="S111" i="47"/>
  <c r="V111" i="47" s="1"/>
  <c r="S501" i="66"/>
  <c r="V501" i="66" s="1"/>
  <c r="O535" i="66"/>
  <c r="R535" i="66" s="1"/>
  <c r="O118" i="47"/>
  <c r="R118" i="47" s="1"/>
  <c r="O132" i="47"/>
  <c r="R132" i="47" s="1"/>
  <c r="O602" i="66"/>
  <c r="R602" i="66" s="1"/>
  <c r="O125" i="47"/>
  <c r="R125" i="47" s="1"/>
  <c r="O568" i="66"/>
  <c r="R568" i="66" s="1"/>
  <c r="S535" i="66"/>
  <c r="V535" i="66" s="1"/>
  <c r="S118" i="47"/>
  <c r="V118" i="47" s="1"/>
  <c r="S132" i="47"/>
  <c r="V132" i="47" s="1"/>
  <c r="S602" i="66"/>
  <c r="V602" i="66" s="1"/>
  <c r="K535" i="66"/>
  <c r="N535" i="66" s="1"/>
  <c r="Y535" i="66" s="1"/>
  <c r="K118" i="47"/>
  <c r="N118" i="47" s="1"/>
  <c r="W118" i="47" s="1"/>
  <c r="K125" i="47"/>
  <c r="N125" i="47" s="1"/>
  <c r="W125" i="47" s="1"/>
  <c r="K568" i="66"/>
  <c r="N568" i="66" s="1"/>
  <c r="Y568" i="66" s="1"/>
  <c r="N145" i="47"/>
  <c r="W145" i="47" s="1"/>
  <c r="M146" i="47"/>
  <c r="N146" i="47" s="1"/>
  <c r="W146" i="47" s="1"/>
  <c r="V145" i="47"/>
  <c r="U146" i="47"/>
  <c r="V146" i="47" s="1"/>
  <c r="H12" i="65"/>
  <c r="I11" i="65"/>
  <c r="S12" i="65"/>
  <c r="T11" i="65"/>
  <c r="S12" i="64"/>
  <c r="T11" i="64"/>
  <c r="M12" i="64"/>
  <c r="N11" i="64"/>
  <c r="H12" i="64"/>
  <c r="I11" i="64"/>
  <c r="N11" i="63"/>
  <c r="M12" i="63"/>
  <c r="M12" i="61"/>
  <c r="N11" i="61"/>
  <c r="H12" i="61"/>
  <c r="I11" i="61"/>
  <c r="S12" i="61"/>
  <c r="T11" i="61"/>
  <c r="M12" i="60"/>
  <c r="N11" i="60"/>
  <c r="O10" i="60"/>
  <c r="H12" i="60"/>
  <c r="I11" i="60"/>
  <c r="H12" i="59"/>
  <c r="I11" i="59"/>
  <c r="M12" i="59"/>
  <c r="N11" i="59"/>
  <c r="S12" i="59"/>
  <c r="T11" i="59"/>
  <c r="S12" i="58"/>
  <c r="T11" i="58"/>
  <c r="M12" i="58"/>
  <c r="N11" i="58"/>
  <c r="H12" i="58"/>
  <c r="I11" i="58"/>
  <c r="M12" i="57"/>
  <c r="N11" i="57"/>
  <c r="H12" i="57"/>
  <c r="I11" i="57"/>
  <c r="H12" i="56"/>
  <c r="I11" i="56"/>
  <c r="M12" i="56"/>
  <c r="N11" i="56"/>
  <c r="S12" i="56"/>
  <c r="T11" i="56"/>
  <c r="H12" i="54"/>
  <c r="I11" i="54"/>
  <c r="O11" i="54" s="1"/>
  <c r="S12" i="53"/>
  <c r="T11" i="53"/>
  <c r="M12" i="53"/>
  <c r="N11" i="53"/>
  <c r="H12" i="53"/>
  <c r="I11" i="53"/>
  <c r="H12" i="63"/>
  <c r="I11" i="63"/>
  <c r="T10" i="63"/>
  <c r="S11" i="63"/>
  <c r="L31" i="48"/>
  <c r="N31" i="48" s="1"/>
  <c r="O31" i="48" s="1"/>
  <c r="G31" i="45"/>
  <c r="I31" i="45" s="1"/>
  <c r="G31" i="44"/>
  <c r="I31" i="44" s="1"/>
  <c r="L31" i="44"/>
  <c r="N31" i="44" s="1"/>
  <c r="R31" i="44"/>
  <c r="T31" i="44" s="1"/>
  <c r="R31" i="48"/>
  <c r="T31" i="48" s="1"/>
  <c r="K132" i="47"/>
  <c r="N132" i="47" s="1"/>
  <c r="W132" i="47" s="1"/>
  <c r="L37" i="46"/>
  <c r="N37" i="46" s="1"/>
  <c r="G37" i="46"/>
  <c r="I37" i="46" s="1"/>
  <c r="R37" i="46"/>
  <c r="T37" i="46" s="1"/>
  <c r="K111" i="47"/>
  <c r="N111" i="47" s="1"/>
  <c r="W111" i="47" s="1"/>
  <c r="R31" i="45"/>
  <c r="T31" i="45" s="1"/>
  <c r="L31" i="45"/>
  <c r="N31" i="45" s="1"/>
  <c r="S125" i="47"/>
  <c r="V125" i="47" s="1"/>
  <c r="P7" i="63"/>
  <c r="Q8" i="63" s="1"/>
  <c r="K403" i="66" s="1"/>
  <c r="N403" i="66" s="1"/>
  <c r="O57" i="48" l="1"/>
  <c r="O72" i="44"/>
  <c r="O73" i="44"/>
  <c r="T72" i="44"/>
  <c r="S74" i="44"/>
  <c r="H77" i="44"/>
  <c r="I75" i="44"/>
  <c r="T73" i="44"/>
  <c r="S75" i="44"/>
  <c r="M77" i="44"/>
  <c r="N75" i="44"/>
  <c r="O47" i="45"/>
  <c r="M76" i="44"/>
  <c r="N74" i="44"/>
  <c r="H76" i="44"/>
  <c r="I74" i="44"/>
  <c r="H59" i="48"/>
  <c r="I58" i="48"/>
  <c r="M59" i="48"/>
  <c r="N58" i="48"/>
  <c r="T57" i="48"/>
  <c r="S58" i="48"/>
  <c r="T34" i="51"/>
  <c r="S35" i="51"/>
  <c r="M36" i="51"/>
  <c r="N35" i="51"/>
  <c r="O35" i="51" s="1"/>
  <c r="S47" i="49"/>
  <c r="T46" i="49"/>
  <c r="T55" i="46"/>
  <c r="S56" i="46"/>
  <c r="N26" i="65"/>
  <c r="O26" i="65" s="1"/>
  <c r="M28" i="65"/>
  <c r="N25" i="65"/>
  <c r="O25" i="65" s="1"/>
  <c r="M27" i="65"/>
  <c r="H47" i="49"/>
  <c r="I46" i="49"/>
  <c r="M47" i="49"/>
  <c r="N46" i="49"/>
  <c r="O45" i="49"/>
  <c r="M49" i="45"/>
  <c r="N48" i="45"/>
  <c r="H49" i="45"/>
  <c r="I48" i="45"/>
  <c r="S49" i="45"/>
  <c r="T48" i="45"/>
  <c r="O37" i="46"/>
  <c r="S21" i="60"/>
  <c r="T20" i="60"/>
  <c r="S23" i="54"/>
  <c r="T22" i="54"/>
  <c r="M23" i="55"/>
  <c r="N22" i="55"/>
  <c r="O22" i="55" s="1"/>
  <c r="S22" i="57"/>
  <c r="M216" i="66" s="1"/>
  <c r="T21" i="57"/>
  <c r="N215" i="66" s="1"/>
  <c r="Y215" i="66" s="1"/>
  <c r="M23" i="52"/>
  <c r="N22" i="52"/>
  <c r="O22" i="52" s="1"/>
  <c r="S23" i="55"/>
  <c r="T22" i="55"/>
  <c r="S23" i="52"/>
  <c r="T22" i="52"/>
  <c r="M23" i="62"/>
  <c r="N22" i="62"/>
  <c r="O22" i="62" s="1"/>
  <c r="M23" i="54"/>
  <c r="N22" i="54"/>
  <c r="O22" i="54" s="1"/>
  <c r="S23" i="62"/>
  <c r="T22" i="62"/>
  <c r="Y403" i="66"/>
  <c r="AB6" i="66"/>
  <c r="S13" i="65"/>
  <c r="T12" i="65"/>
  <c r="H13" i="65"/>
  <c r="I12" i="65"/>
  <c r="M13" i="64"/>
  <c r="N12" i="64"/>
  <c r="H13" i="64"/>
  <c r="I12" i="64"/>
  <c r="S13" i="64"/>
  <c r="T12" i="64"/>
  <c r="I12" i="63"/>
  <c r="H13" i="63"/>
  <c r="T11" i="63"/>
  <c r="S12" i="63"/>
  <c r="M13" i="63"/>
  <c r="N12" i="63"/>
  <c r="H13" i="61"/>
  <c r="I12" i="61"/>
  <c r="S13" i="61"/>
  <c r="T12" i="61"/>
  <c r="M13" i="61"/>
  <c r="N12" i="61"/>
  <c r="H13" i="60"/>
  <c r="I12" i="60"/>
  <c r="O11" i="60"/>
  <c r="M13" i="60"/>
  <c r="N12" i="60"/>
  <c r="M13" i="59"/>
  <c r="N12" i="59"/>
  <c r="S13" i="59"/>
  <c r="T12" i="59"/>
  <c r="H13" i="59"/>
  <c r="I12" i="59"/>
  <c r="H13" i="58"/>
  <c r="I12" i="58"/>
  <c r="S13" i="58"/>
  <c r="T12" i="58"/>
  <c r="M13" i="58"/>
  <c r="N12" i="58"/>
  <c r="H13" i="57"/>
  <c r="I12" i="57"/>
  <c r="M13" i="57"/>
  <c r="N12" i="57"/>
  <c r="M13" i="56"/>
  <c r="N12" i="56"/>
  <c r="S13" i="56"/>
  <c r="T12" i="56"/>
  <c r="H13" i="56"/>
  <c r="I12" i="56"/>
  <c r="H13" i="54"/>
  <c r="I12" i="54"/>
  <c r="O12" i="54" s="1"/>
  <c r="M13" i="53"/>
  <c r="N12" i="53"/>
  <c r="H13" i="53"/>
  <c r="I12" i="53"/>
  <c r="S13" i="53"/>
  <c r="T12" i="53"/>
  <c r="O31" i="44"/>
  <c r="K90" i="47"/>
  <c r="N90" i="47" s="1"/>
  <c r="R8" i="63"/>
  <c r="T8" i="63" s="1"/>
  <c r="Q26" i="49"/>
  <c r="K26" i="49"/>
  <c r="L26" i="49" s="1"/>
  <c r="N26" i="49" s="1"/>
  <c r="F26" i="49"/>
  <c r="Q30" i="48"/>
  <c r="R30" i="48" s="1"/>
  <c r="T30" i="48" s="1"/>
  <c r="K30" i="44"/>
  <c r="L30" i="44" s="1"/>
  <c r="N30" i="44" s="1"/>
  <c r="F30" i="44"/>
  <c r="G30" i="44" s="1"/>
  <c r="I30" i="44" s="1"/>
  <c r="Q30" i="44"/>
  <c r="R30" i="44" s="1"/>
  <c r="T30" i="44" s="1"/>
  <c r="K30" i="45"/>
  <c r="L30" i="45" s="1"/>
  <c r="N30" i="45" s="1"/>
  <c r="F30" i="45"/>
  <c r="G30" i="45" s="1"/>
  <c r="I30" i="45" s="1"/>
  <c r="Q30" i="45"/>
  <c r="R30" i="45" s="1"/>
  <c r="T30" i="45" s="1"/>
  <c r="R36" i="46"/>
  <c r="T36" i="46" s="1"/>
  <c r="K36" i="46"/>
  <c r="L36" i="46" s="1"/>
  <c r="N36" i="46" s="1"/>
  <c r="F36" i="46"/>
  <c r="G36" i="46" s="1"/>
  <c r="I36" i="46" s="1"/>
  <c r="R7" i="65"/>
  <c r="T7" i="65" s="1"/>
  <c r="L7" i="65"/>
  <c r="N7" i="65" s="1"/>
  <c r="N17" i="65" s="1"/>
  <c r="G7" i="65"/>
  <c r="I7" i="65" s="1"/>
  <c r="R7" i="64"/>
  <c r="T7" i="64" s="1"/>
  <c r="L7" i="64"/>
  <c r="N7" i="64" s="1"/>
  <c r="G7" i="64"/>
  <c r="I7" i="64" s="1"/>
  <c r="G7" i="63"/>
  <c r="I7" i="63" s="1"/>
  <c r="R7" i="63"/>
  <c r="T7" i="63" s="1"/>
  <c r="L7" i="63"/>
  <c r="N7" i="63" s="1"/>
  <c r="R7" i="62"/>
  <c r="T7" i="62" s="1"/>
  <c r="T17" i="62" s="1"/>
  <c r="L7" i="62"/>
  <c r="N7" i="62" s="1"/>
  <c r="N17" i="62" s="1"/>
  <c r="G7" i="62"/>
  <c r="I7" i="62" s="1"/>
  <c r="I17" i="62" s="1"/>
  <c r="R7" i="61"/>
  <c r="T7" i="61" s="1"/>
  <c r="L7" i="61"/>
  <c r="N7" i="61" s="1"/>
  <c r="G7" i="61"/>
  <c r="I7" i="61" s="1"/>
  <c r="O74" i="44" l="1"/>
  <c r="O58" i="48"/>
  <c r="N77" i="44"/>
  <c r="M80" i="44"/>
  <c r="M84" i="44" s="1"/>
  <c r="N84" i="44" s="1"/>
  <c r="I77" i="44"/>
  <c r="H80" i="44"/>
  <c r="H84" i="44" s="1"/>
  <c r="I84" i="44" s="1"/>
  <c r="N76" i="44"/>
  <c r="M78" i="44"/>
  <c r="I76" i="44"/>
  <c r="H78" i="44"/>
  <c r="O46" i="49"/>
  <c r="S77" i="44"/>
  <c r="T75" i="44"/>
  <c r="O75" i="44"/>
  <c r="S76" i="44"/>
  <c r="T74" i="44"/>
  <c r="S59" i="48"/>
  <c r="T58" i="48"/>
  <c r="N59" i="48"/>
  <c r="M60" i="48"/>
  <c r="O48" i="45"/>
  <c r="H60" i="48"/>
  <c r="I59" i="48"/>
  <c r="M37" i="51"/>
  <c r="N36" i="51"/>
  <c r="O36" i="51" s="1"/>
  <c r="S36" i="51"/>
  <c r="T35" i="51"/>
  <c r="I49" i="45"/>
  <c r="H50" i="45"/>
  <c r="M29" i="65"/>
  <c r="N27" i="65"/>
  <c r="O27" i="65" s="1"/>
  <c r="S57" i="46"/>
  <c r="T56" i="46"/>
  <c r="M48" i="49"/>
  <c r="N47" i="49"/>
  <c r="T49" i="45"/>
  <c r="S50" i="45"/>
  <c r="N49" i="45"/>
  <c r="M50" i="45"/>
  <c r="M31" i="65"/>
  <c r="N28" i="65"/>
  <c r="O28" i="65" s="1"/>
  <c r="H48" i="49"/>
  <c r="I47" i="49"/>
  <c r="S48" i="49"/>
  <c r="T47" i="49"/>
  <c r="N23" i="54"/>
  <c r="O23" i="54" s="1"/>
  <c r="M24" i="54"/>
  <c r="T23" i="52"/>
  <c r="S24" i="52"/>
  <c r="N23" i="52"/>
  <c r="O23" i="52" s="1"/>
  <c r="M24" i="52"/>
  <c r="N23" i="55"/>
  <c r="O23" i="55" s="1"/>
  <c r="M24" i="55"/>
  <c r="T23" i="62"/>
  <c r="S24" i="62"/>
  <c r="N23" i="62"/>
  <c r="O23" i="62" s="1"/>
  <c r="M24" i="62"/>
  <c r="T23" i="55"/>
  <c r="S24" i="55"/>
  <c r="T23" i="54"/>
  <c r="S24" i="54"/>
  <c r="S23" i="57"/>
  <c r="T22" i="57"/>
  <c r="N216" i="66" s="1"/>
  <c r="Y216" i="66" s="1"/>
  <c r="S22" i="60"/>
  <c r="T21" i="60"/>
  <c r="O36" i="46"/>
  <c r="S634" i="66"/>
  <c r="V634" i="66" s="1"/>
  <c r="S139" i="47"/>
  <c r="V139" i="47" s="1"/>
  <c r="I13" i="53"/>
  <c r="H14" i="53"/>
  <c r="I13" i="54"/>
  <c r="O13" i="54" s="1"/>
  <c r="H14" i="54"/>
  <c r="T13" i="56"/>
  <c r="S14" i="56"/>
  <c r="N13" i="57"/>
  <c r="M14" i="57"/>
  <c r="N13" i="58"/>
  <c r="M14" i="58"/>
  <c r="I13" i="58"/>
  <c r="H14" i="58"/>
  <c r="T13" i="59"/>
  <c r="S14" i="59"/>
  <c r="N13" i="60"/>
  <c r="M14" i="60"/>
  <c r="K634" i="66"/>
  <c r="N634" i="66" s="1"/>
  <c r="Y634" i="66" s="1"/>
  <c r="K139" i="47"/>
  <c r="N139" i="47" s="1"/>
  <c r="W139" i="47" s="1"/>
  <c r="N13" i="61"/>
  <c r="M14" i="61"/>
  <c r="I13" i="61"/>
  <c r="H14" i="61"/>
  <c r="T13" i="64"/>
  <c r="S14" i="64"/>
  <c r="N13" i="64"/>
  <c r="M14" i="64"/>
  <c r="T13" i="65"/>
  <c r="S14" i="65"/>
  <c r="O634" i="66"/>
  <c r="R634" i="66" s="1"/>
  <c r="O139" i="47"/>
  <c r="R139" i="47" s="1"/>
  <c r="T13" i="53"/>
  <c r="S14" i="53"/>
  <c r="N13" i="53"/>
  <c r="M14" i="53"/>
  <c r="I13" i="56"/>
  <c r="H14" i="56"/>
  <c r="N13" i="56"/>
  <c r="M14" i="56"/>
  <c r="I13" i="57"/>
  <c r="H14" i="57"/>
  <c r="T13" i="58"/>
  <c r="S14" i="58"/>
  <c r="I13" i="59"/>
  <c r="H14" i="59"/>
  <c r="N13" i="59"/>
  <c r="M14" i="59"/>
  <c r="I13" i="63"/>
  <c r="H14" i="63"/>
  <c r="I13" i="60"/>
  <c r="H14" i="60"/>
  <c r="T13" i="61"/>
  <c r="S14" i="61"/>
  <c r="N13" i="63"/>
  <c r="M14" i="63"/>
  <c r="I13" i="64"/>
  <c r="H14" i="64"/>
  <c r="I13" i="65"/>
  <c r="H14" i="65"/>
  <c r="O12" i="60"/>
  <c r="O7" i="61"/>
  <c r="Z6" i="47"/>
  <c r="W90" i="47"/>
  <c r="S13" i="63"/>
  <c r="T12" i="63"/>
  <c r="G26" i="49"/>
  <c r="I26" i="49" s="1"/>
  <c r="O26" i="49" s="1"/>
  <c r="O30" i="44"/>
  <c r="R26" i="49"/>
  <c r="T26" i="49" s="1"/>
  <c r="O30" i="45"/>
  <c r="O7" i="65"/>
  <c r="O7" i="64"/>
  <c r="O7" i="63"/>
  <c r="O7" i="62"/>
  <c r="O84" i="44" l="1"/>
  <c r="O76" i="44"/>
  <c r="O77" i="44"/>
  <c r="O59" i="48"/>
  <c r="H81" i="44"/>
  <c r="I78" i="44"/>
  <c r="H83" i="44"/>
  <c r="H82" i="44"/>
  <c r="H89" i="44" s="1"/>
  <c r="I89" i="44" s="1"/>
  <c r="I80" i="44"/>
  <c r="T76" i="44"/>
  <c r="S78" i="44"/>
  <c r="T77" i="44"/>
  <c r="S80" i="44"/>
  <c r="S84" i="44" s="1"/>
  <c r="T84" i="44" s="1"/>
  <c r="M81" i="44"/>
  <c r="N78" i="44"/>
  <c r="O78" i="44" s="1"/>
  <c r="M83" i="44"/>
  <c r="M82" i="44"/>
  <c r="M89" i="44" s="1"/>
  <c r="N89" i="44" s="1"/>
  <c r="N80" i="44"/>
  <c r="O49" i="45"/>
  <c r="H61" i="48"/>
  <c r="I60" i="48"/>
  <c r="M61" i="48"/>
  <c r="N60" i="48"/>
  <c r="O60" i="48" s="1"/>
  <c r="N37" i="51"/>
  <c r="O37" i="51" s="1"/>
  <c r="M38" i="51"/>
  <c r="S60" i="48"/>
  <c r="T59" i="48"/>
  <c r="S37" i="51"/>
  <c r="T36" i="51"/>
  <c r="O13" i="60"/>
  <c r="N29" i="65"/>
  <c r="O29" i="65" s="1"/>
  <c r="M32" i="65"/>
  <c r="N31" i="65"/>
  <c r="O31" i="65" s="1"/>
  <c r="M33" i="65"/>
  <c r="M51" i="45"/>
  <c r="N50" i="45"/>
  <c r="O47" i="49"/>
  <c r="H50" i="49"/>
  <c r="I48" i="49"/>
  <c r="M50" i="49"/>
  <c r="N48" i="49"/>
  <c r="S51" i="45"/>
  <c r="T50" i="45"/>
  <c r="H51" i="45"/>
  <c r="I50" i="45"/>
  <c r="S50" i="49"/>
  <c r="T48" i="49"/>
  <c r="S58" i="46"/>
  <c r="T57" i="46"/>
  <c r="S25" i="54"/>
  <c r="T24" i="54"/>
  <c r="M25" i="62"/>
  <c r="N24" i="62"/>
  <c r="O24" i="62" s="1"/>
  <c r="M25" i="55"/>
  <c r="N24" i="55"/>
  <c r="O24" i="55" s="1"/>
  <c r="S25" i="52"/>
  <c r="T24" i="52"/>
  <c r="S25" i="55"/>
  <c r="T24" i="55"/>
  <c r="S25" i="62"/>
  <c r="T24" i="62"/>
  <c r="M25" i="52"/>
  <c r="N24" i="52"/>
  <c r="O24" i="52" s="1"/>
  <c r="M25" i="54"/>
  <c r="N24" i="54"/>
  <c r="O24" i="54" s="1"/>
  <c r="T23" i="57"/>
  <c r="N217" i="66" s="1"/>
  <c r="Y217" i="66" s="1"/>
  <c r="M217" i="66"/>
  <c r="S23" i="60"/>
  <c r="T22" i="60"/>
  <c r="O9" i="65"/>
  <c r="O11" i="65" s="1"/>
  <c r="O13" i="65" s="1"/>
  <c r="O15" i="65" s="1"/>
  <c r="H15" i="65"/>
  <c r="I14" i="65"/>
  <c r="M15" i="63"/>
  <c r="N14" i="63"/>
  <c r="H15" i="60"/>
  <c r="I14" i="60"/>
  <c r="S15" i="59"/>
  <c r="T14" i="59"/>
  <c r="M15" i="58"/>
  <c r="N14" i="58"/>
  <c r="S15" i="56"/>
  <c r="T14" i="56"/>
  <c r="H15" i="53"/>
  <c r="I14" i="53"/>
  <c r="M15" i="59"/>
  <c r="N14" i="59"/>
  <c r="S15" i="58"/>
  <c r="T14" i="58"/>
  <c r="M15" i="56"/>
  <c r="N14" i="56"/>
  <c r="M15" i="53"/>
  <c r="N14" i="53"/>
  <c r="S15" i="65"/>
  <c r="T14" i="65"/>
  <c r="S15" i="64"/>
  <c r="T14" i="64"/>
  <c r="M15" i="61"/>
  <c r="N14" i="61"/>
  <c r="O9" i="61"/>
  <c r="O11" i="61" s="1"/>
  <c r="O13" i="61" s="1"/>
  <c r="O15" i="61" s="1"/>
  <c r="H15" i="64"/>
  <c r="I14" i="64"/>
  <c r="S15" i="61"/>
  <c r="T14" i="61"/>
  <c r="M15" i="60"/>
  <c r="N14" i="60"/>
  <c r="H15" i="58"/>
  <c r="I14" i="58"/>
  <c r="M15" i="57"/>
  <c r="N14" i="57"/>
  <c r="H15" i="54"/>
  <c r="I14" i="54"/>
  <c r="O14" i="54" s="1"/>
  <c r="O9" i="62"/>
  <c r="O11" i="62" s="1"/>
  <c r="O13" i="62" s="1"/>
  <c r="O15" i="62" s="1"/>
  <c r="O9" i="63"/>
  <c r="O11" i="63" s="1"/>
  <c r="O13" i="63" s="1"/>
  <c r="O15" i="63" s="1"/>
  <c r="O9" i="64"/>
  <c r="O11" i="64" s="1"/>
  <c r="O13" i="64" s="1"/>
  <c r="O15" i="64" s="1"/>
  <c r="T13" i="63"/>
  <c r="S14" i="63"/>
  <c r="H15" i="63"/>
  <c r="I14" i="63"/>
  <c r="H15" i="59"/>
  <c r="I14" i="59"/>
  <c r="H15" i="57"/>
  <c r="I14" i="57"/>
  <c r="H15" i="56"/>
  <c r="I14" i="56"/>
  <c r="S15" i="53"/>
  <c r="T14" i="53"/>
  <c r="M15" i="64"/>
  <c r="N14" i="64"/>
  <c r="H15" i="61"/>
  <c r="I14" i="61"/>
  <c r="R7" i="60"/>
  <c r="T7" i="60" s="1"/>
  <c r="T17" i="60" s="1"/>
  <c r="L7" i="60"/>
  <c r="N7" i="60" s="1"/>
  <c r="G7" i="60"/>
  <c r="I7" i="60" s="1"/>
  <c r="R7" i="59"/>
  <c r="T7" i="59" s="1"/>
  <c r="L7" i="59"/>
  <c r="N7" i="59" s="1"/>
  <c r="G7" i="59"/>
  <c r="I7" i="59" s="1"/>
  <c r="R7" i="58"/>
  <c r="T7" i="58" s="1"/>
  <c r="L7" i="58"/>
  <c r="N7" i="58" s="1"/>
  <c r="G7" i="58"/>
  <c r="I7" i="58" s="1"/>
  <c r="R7" i="57"/>
  <c r="T7" i="57" s="1"/>
  <c r="T17" i="57" s="1"/>
  <c r="N211" i="66" s="1"/>
  <c r="Y211" i="66" s="1"/>
  <c r="L7" i="57"/>
  <c r="N7" i="57" s="1"/>
  <c r="G7" i="57"/>
  <c r="I7" i="57" s="1"/>
  <c r="R7" i="56"/>
  <c r="T7" i="56" s="1"/>
  <c r="L7" i="56"/>
  <c r="N7" i="56" s="1"/>
  <c r="G7" i="56"/>
  <c r="I7" i="56" s="1"/>
  <c r="R7" i="55"/>
  <c r="T7" i="55" s="1"/>
  <c r="T17" i="55" s="1"/>
  <c r="L7" i="55"/>
  <c r="N7" i="55" s="1"/>
  <c r="N17" i="55" s="1"/>
  <c r="G7" i="55"/>
  <c r="I7" i="55" s="1"/>
  <c r="I17" i="55" s="1"/>
  <c r="R7" i="54"/>
  <c r="T7" i="54" s="1"/>
  <c r="T17" i="54" s="1"/>
  <c r="L7" i="54"/>
  <c r="N7" i="54" s="1"/>
  <c r="N17" i="54" s="1"/>
  <c r="G7" i="54"/>
  <c r="I7" i="54" s="1"/>
  <c r="R7" i="53"/>
  <c r="T7" i="53" s="1"/>
  <c r="L7" i="53"/>
  <c r="N7" i="53" s="1"/>
  <c r="G7" i="53"/>
  <c r="I7" i="53" s="1"/>
  <c r="R7" i="52"/>
  <c r="T7" i="52" s="1"/>
  <c r="T17" i="52" s="1"/>
  <c r="L7" i="52"/>
  <c r="N7" i="52" s="1"/>
  <c r="N17" i="52" s="1"/>
  <c r="G7" i="52"/>
  <c r="I7" i="52" s="1"/>
  <c r="I17" i="52" s="1"/>
  <c r="R7" i="51"/>
  <c r="T7" i="51" s="1"/>
  <c r="T17" i="51" s="1"/>
  <c r="L7" i="51"/>
  <c r="N7" i="51" s="1"/>
  <c r="N17" i="51" s="1"/>
  <c r="G7" i="51"/>
  <c r="I7" i="51" s="1"/>
  <c r="I17" i="51" s="1"/>
  <c r="N83" i="44" l="1"/>
  <c r="M90" i="44"/>
  <c r="N90" i="44" s="1"/>
  <c r="I83" i="44"/>
  <c r="H90" i="44"/>
  <c r="I90" i="44" s="1"/>
  <c r="O89" i="44"/>
  <c r="M86" i="44"/>
  <c r="N86" i="44" s="1"/>
  <c r="M87" i="44"/>
  <c r="N87" i="44" s="1"/>
  <c r="H86" i="44"/>
  <c r="I86" i="44" s="1"/>
  <c r="H87" i="44"/>
  <c r="I87" i="44" s="1"/>
  <c r="O83" i="44"/>
  <c r="N82" i="44"/>
  <c r="M88" i="44"/>
  <c r="N88" i="44" s="1"/>
  <c r="I82" i="44"/>
  <c r="H88" i="44"/>
  <c r="I88" i="44" s="1"/>
  <c r="O80" i="44"/>
  <c r="S81" i="44"/>
  <c r="T78" i="44"/>
  <c r="M85" i="44"/>
  <c r="N85" i="44" s="1"/>
  <c r="N81" i="44"/>
  <c r="N91" i="44" s="1"/>
  <c r="S83" i="44"/>
  <c r="S82" i="44"/>
  <c r="S89" i="44" s="1"/>
  <c r="T89" i="44" s="1"/>
  <c r="T80" i="44"/>
  <c r="H85" i="44"/>
  <c r="I85" i="44" s="1"/>
  <c r="I81" i="44"/>
  <c r="N61" i="48"/>
  <c r="M62" i="48"/>
  <c r="I61" i="48"/>
  <c r="H62" i="48"/>
  <c r="N38" i="51"/>
  <c r="O38" i="51" s="1"/>
  <c r="M39" i="51"/>
  <c r="N33" i="65"/>
  <c r="O33" i="65" s="1"/>
  <c r="M35" i="65"/>
  <c r="T37" i="51"/>
  <c r="S38" i="51"/>
  <c r="S61" i="48"/>
  <c r="T60" i="48"/>
  <c r="O48" i="49"/>
  <c r="T50" i="49"/>
  <c r="S51" i="49"/>
  <c r="N50" i="49"/>
  <c r="M51" i="49"/>
  <c r="I50" i="49"/>
  <c r="H51" i="49"/>
  <c r="M34" i="65"/>
  <c r="N32" i="65"/>
  <c r="O32" i="65" s="1"/>
  <c r="S52" i="45"/>
  <c r="T51" i="45"/>
  <c r="S59" i="46"/>
  <c r="T58" i="46"/>
  <c r="H52" i="45"/>
  <c r="I51" i="45"/>
  <c r="O50" i="45"/>
  <c r="M52" i="45"/>
  <c r="N51" i="45"/>
  <c r="O17" i="62"/>
  <c r="O14" i="60"/>
  <c r="O17" i="64"/>
  <c r="T23" i="60"/>
  <c r="S24" i="60"/>
  <c r="M26" i="54"/>
  <c r="N25" i="54"/>
  <c r="O25" i="54" s="1"/>
  <c r="S26" i="62"/>
  <c r="T25" i="62"/>
  <c r="S26" i="52"/>
  <c r="T25" i="52"/>
  <c r="M26" i="62"/>
  <c r="N25" i="62"/>
  <c r="O25" i="62" s="1"/>
  <c r="M26" i="52"/>
  <c r="N25" i="52"/>
  <c r="O25" i="52" s="1"/>
  <c r="S26" i="55"/>
  <c r="T25" i="55"/>
  <c r="M26" i="55"/>
  <c r="N25" i="55"/>
  <c r="O25" i="55" s="1"/>
  <c r="S26" i="54"/>
  <c r="T25" i="54"/>
  <c r="N15" i="64"/>
  <c r="M16" i="64"/>
  <c r="T15" i="65"/>
  <c r="S16" i="65"/>
  <c r="N15" i="57"/>
  <c r="M16" i="57"/>
  <c r="I15" i="64"/>
  <c r="H16" i="64"/>
  <c r="I16" i="64" s="1"/>
  <c r="I15" i="57"/>
  <c r="H16" i="57"/>
  <c r="I16" i="57" s="1"/>
  <c r="T15" i="64"/>
  <c r="S16" i="64"/>
  <c r="T15" i="58"/>
  <c r="S16" i="58"/>
  <c r="N15" i="58"/>
  <c r="M16" i="58"/>
  <c r="I15" i="65"/>
  <c r="H16" i="65"/>
  <c r="I16" i="65" s="1"/>
  <c r="I15" i="58"/>
  <c r="H16" i="58"/>
  <c r="I16" i="58" s="1"/>
  <c r="O17" i="65"/>
  <c r="H16" i="61"/>
  <c r="I16" i="61" s="1"/>
  <c r="I15" i="61"/>
  <c r="S16" i="53"/>
  <c r="T15" i="53"/>
  <c r="M16" i="59"/>
  <c r="N15" i="59"/>
  <c r="S15" i="63"/>
  <c r="T14" i="63"/>
  <c r="O17" i="63"/>
  <c r="O17" i="61"/>
  <c r="H16" i="56"/>
  <c r="I16" i="56" s="1"/>
  <c r="I15" i="56"/>
  <c r="H16" i="59"/>
  <c r="I16" i="59" s="1"/>
  <c r="I15" i="59"/>
  <c r="H16" i="54"/>
  <c r="I16" i="54" s="1"/>
  <c r="I15" i="54"/>
  <c r="O15" i="54" s="1"/>
  <c r="S16" i="61"/>
  <c r="T15" i="61"/>
  <c r="M16" i="53"/>
  <c r="N15" i="53"/>
  <c r="H16" i="53"/>
  <c r="I16" i="53" s="1"/>
  <c r="I15" i="53"/>
  <c r="H16" i="60"/>
  <c r="I16" i="60" s="1"/>
  <c r="I15" i="60"/>
  <c r="H16" i="63"/>
  <c r="I16" i="63" s="1"/>
  <c r="I15" i="63"/>
  <c r="M16" i="60"/>
  <c r="N15" i="60"/>
  <c r="M16" i="61"/>
  <c r="N15" i="61"/>
  <c r="M16" i="56"/>
  <c r="N15" i="56"/>
  <c r="S16" i="56"/>
  <c r="T15" i="56"/>
  <c r="S16" i="59"/>
  <c r="T15" i="59"/>
  <c r="M16" i="63"/>
  <c r="N15" i="63"/>
  <c r="O7" i="60"/>
  <c r="O7" i="59"/>
  <c r="O7" i="58"/>
  <c r="O7" i="57"/>
  <c r="O7" i="56"/>
  <c r="O7" i="55"/>
  <c r="O7" i="54"/>
  <c r="O7" i="53"/>
  <c r="O7" i="52"/>
  <c r="O7" i="51"/>
  <c r="O17" i="51" s="1"/>
  <c r="F14" i="45"/>
  <c r="G14" i="45" s="1"/>
  <c r="I14" i="45" s="1"/>
  <c r="K14" i="45"/>
  <c r="L14" i="45" s="1"/>
  <c r="N14" i="45" s="1"/>
  <c r="Q14" i="45"/>
  <c r="R14" i="45" s="1"/>
  <c r="T14" i="45" s="1"/>
  <c r="F15" i="45"/>
  <c r="G15" i="45" s="1"/>
  <c r="I15" i="45" s="1"/>
  <c r="K15" i="45"/>
  <c r="L15" i="45" s="1"/>
  <c r="N15" i="45" s="1"/>
  <c r="Q15" i="45"/>
  <c r="R15" i="45" s="1"/>
  <c r="T15" i="45" s="1"/>
  <c r="T83" i="44" l="1"/>
  <c r="S90" i="44"/>
  <c r="T90" i="44" s="1"/>
  <c r="O90" i="44"/>
  <c r="O82" i="44"/>
  <c r="I91" i="44"/>
  <c r="S86" i="44"/>
  <c r="T86" i="44" s="1"/>
  <c r="S87" i="44"/>
  <c r="T87" i="44" s="1"/>
  <c r="O87" i="44"/>
  <c r="O86" i="44"/>
  <c r="T82" i="44"/>
  <c r="S88" i="44"/>
  <c r="T88" i="44" s="1"/>
  <c r="O88" i="44"/>
  <c r="O85" i="44"/>
  <c r="O81" i="44"/>
  <c r="S85" i="44"/>
  <c r="T85" i="44" s="1"/>
  <c r="T81" i="44"/>
  <c r="T61" i="48"/>
  <c r="S62" i="48"/>
  <c r="H63" i="48"/>
  <c r="I62" i="48"/>
  <c r="M63" i="48"/>
  <c r="N62" i="48"/>
  <c r="O61" i="48"/>
  <c r="N39" i="51"/>
  <c r="O39" i="51" s="1"/>
  <c r="M40" i="51"/>
  <c r="O50" i="49"/>
  <c r="T38" i="51"/>
  <c r="S39" i="51"/>
  <c r="N34" i="65"/>
  <c r="O34" i="65" s="1"/>
  <c r="M36" i="65"/>
  <c r="M37" i="65"/>
  <c r="N35" i="65"/>
  <c r="O35" i="65" s="1"/>
  <c r="I17" i="61"/>
  <c r="I17" i="53"/>
  <c r="T59" i="46"/>
  <c r="S60" i="46"/>
  <c r="M52" i="49"/>
  <c r="N51" i="49"/>
  <c r="S52" i="49"/>
  <c r="T51" i="49"/>
  <c r="I17" i="56"/>
  <c r="O51" i="45"/>
  <c r="H52" i="49"/>
  <c r="I51" i="49"/>
  <c r="I17" i="65"/>
  <c r="I17" i="57"/>
  <c r="N26" i="55"/>
  <c r="O26" i="55" s="1"/>
  <c r="M27" i="55"/>
  <c r="N26" i="52"/>
  <c r="O26" i="52" s="1"/>
  <c r="M27" i="52"/>
  <c r="T26" i="52"/>
  <c r="S27" i="52"/>
  <c r="N26" i="54"/>
  <c r="O26" i="54" s="1"/>
  <c r="M27" i="54"/>
  <c r="T26" i="54"/>
  <c r="S27" i="54"/>
  <c r="T26" i="55"/>
  <c r="S27" i="55"/>
  <c r="M54" i="45"/>
  <c r="N52" i="45"/>
  <c r="H54" i="45"/>
  <c r="I52" i="45"/>
  <c r="S54" i="45"/>
  <c r="T52" i="45"/>
  <c r="T26" i="62"/>
  <c r="S27" i="62"/>
  <c r="N26" i="62"/>
  <c r="O26" i="62" s="1"/>
  <c r="M27" i="62"/>
  <c r="I17" i="63"/>
  <c r="I17" i="58"/>
  <c r="I17" i="64"/>
  <c r="O15" i="60"/>
  <c r="I17" i="60"/>
  <c r="S25" i="60"/>
  <c r="T24" i="60"/>
  <c r="T16" i="58"/>
  <c r="T17" i="58" s="1"/>
  <c r="S18" i="58"/>
  <c r="N16" i="64"/>
  <c r="N17" i="64" s="1"/>
  <c r="M18" i="64"/>
  <c r="N16" i="57"/>
  <c r="N17" i="57" s="1"/>
  <c r="M18" i="57"/>
  <c r="T16" i="65"/>
  <c r="T17" i="65" s="1"/>
  <c r="S18" i="65"/>
  <c r="N16" i="58"/>
  <c r="N17" i="58" s="1"/>
  <c r="M18" i="58"/>
  <c r="T16" i="64"/>
  <c r="T17" i="64" s="1"/>
  <c r="S18" i="64"/>
  <c r="I17" i="59"/>
  <c r="O9" i="52"/>
  <c r="O11" i="52" s="1"/>
  <c r="O13" i="52" s="1"/>
  <c r="O15" i="52" s="1"/>
  <c r="O9" i="56"/>
  <c r="O11" i="56" s="1"/>
  <c r="O13" i="56" s="1"/>
  <c r="O15" i="56" s="1"/>
  <c r="S18" i="59"/>
  <c r="T16" i="59"/>
  <c r="T17" i="59" s="1"/>
  <c r="M18" i="56"/>
  <c r="N16" i="56"/>
  <c r="N17" i="56" s="1"/>
  <c r="M18" i="60"/>
  <c r="N16" i="60"/>
  <c r="O16" i="60" s="1"/>
  <c r="O17" i="60" s="1"/>
  <c r="S18" i="61"/>
  <c r="T16" i="61"/>
  <c r="T17" i="61" s="1"/>
  <c r="S16" i="63"/>
  <c r="T15" i="63"/>
  <c r="S18" i="53"/>
  <c r="T16" i="53"/>
  <c r="T17" i="53" s="1"/>
  <c r="O9" i="53"/>
  <c r="O11" i="53" s="1"/>
  <c r="O13" i="53" s="1"/>
  <c r="O15" i="53" s="1"/>
  <c r="O9" i="57"/>
  <c r="O11" i="57" s="1"/>
  <c r="O13" i="57" s="1"/>
  <c r="O15" i="57" s="1"/>
  <c r="O9" i="58"/>
  <c r="O17" i="58" s="1"/>
  <c r="N16" i="63"/>
  <c r="N17" i="63" s="1"/>
  <c r="M18" i="63"/>
  <c r="S18" i="56"/>
  <c r="T16" i="56"/>
  <c r="T17" i="56" s="1"/>
  <c r="M18" i="61"/>
  <c r="N16" i="61"/>
  <c r="N17" i="61" s="1"/>
  <c r="M18" i="53"/>
  <c r="N16" i="53"/>
  <c r="N17" i="53" s="1"/>
  <c r="I17" i="54"/>
  <c r="O16" i="54"/>
  <c r="O17" i="54" s="1"/>
  <c r="N17" i="60"/>
  <c r="M18" i="59"/>
  <c r="N16" i="59"/>
  <c r="N17" i="59" s="1"/>
  <c r="O9" i="55"/>
  <c r="O11" i="55" s="1"/>
  <c r="O13" i="55" s="1"/>
  <c r="O15" i="55" s="1"/>
  <c r="O9" i="59"/>
  <c r="O11" i="59" s="1"/>
  <c r="O13" i="59" s="1"/>
  <c r="O15" i="59" s="1"/>
  <c r="O14" i="45"/>
  <c r="O15" i="45"/>
  <c r="Q9" i="46"/>
  <c r="Q8" i="46"/>
  <c r="R8" i="46" s="1"/>
  <c r="T8" i="46" s="1"/>
  <c r="K9" i="46"/>
  <c r="K8" i="46"/>
  <c r="L8" i="46" s="1"/>
  <c r="N8" i="46" s="1"/>
  <c r="F8" i="46"/>
  <c r="G8" i="46" s="1"/>
  <c r="I8" i="46" s="1"/>
  <c r="F9" i="46"/>
  <c r="Q25" i="49"/>
  <c r="R25" i="49" s="1"/>
  <c r="T25" i="49" s="1"/>
  <c r="K25" i="49"/>
  <c r="L25" i="49" s="1"/>
  <c r="N25" i="49" s="1"/>
  <c r="F25" i="49"/>
  <c r="G25" i="49" s="1"/>
  <c r="I25" i="49" s="1"/>
  <c r="T91" i="44" l="1"/>
  <c r="O91" i="44"/>
  <c r="O62" i="48"/>
  <c r="M64" i="48"/>
  <c r="N63" i="48"/>
  <c r="N40" i="51"/>
  <c r="O40" i="51" s="1"/>
  <c r="M41" i="51"/>
  <c r="H64" i="48"/>
  <c r="I63" i="48"/>
  <c r="S63" i="48"/>
  <c r="T62" i="48"/>
  <c r="N37" i="65"/>
  <c r="O37" i="65" s="1"/>
  <c r="M39" i="65"/>
  <c r="T39" i="51"/>
  <c r="S40" i="51"/>
  <c r="M38" i="65"/>
  <c r="N36" i="65"/>
  <c r="O36" i="65" s="1"/>
  <c r="T54" i="45"/>
  <c r="S55" i="45"/>
  <c r="S53" i="49"/>
  <c r="T52" i="49"/>
  <c r="O51" i="49"/>
  <c r="I54" i="45"/>
  <c r="H55" i="45"/>
  <c r="H53" i="49"/>
  <c r="I52" i="49"/>
  <c r="M53" i="49"/>
  <c r="N52" i="49"/>
  <c r="S61" i="46"/>
  <c r="T60" i="46"/>
  <c r="N54" i="45"/>
  <c r="M55" i="45"/>
  <c r="O52" i="45"/>
  <c r="S28" i="54"/>
  <c r="T27" i="54"/>
  <c r="S28" i="52"/>
  <c r="T27" i="52"/>
  <c r="M28" i="55"/>
  <c r="N27" i="55"/>
  <c r="O27" i="55" s="1"/>
  <c r="S28" i="55"/>
  <c r="T27" i="55"/>
  <c r="M28" i="54"/>
  <c r="N27" i="54"/>
  <c r="O27" i="54" s="1"/>
  <c r="M28" i="52"/>
  <c r="N27" i="52"/>
  <c r="O27" i="52" s="1"/>
  <c r="M28" i="62"/>
  <c r="N27" i="62"/>
  <c r="O27" i="62" s="1"/>
  <c r="S28" i="62"/>
  <c r="T27" i="62"/>
  <c r="S26" i="60"/>
  <c r="T25" i="60"/>
  <c r="O17" i="59"/>
  <c r="N18" i="61"/>
  <c r="O18" i="61" s="1"/>
  <c r="M19" i="61"/>
  <c r="O17" i="56"/>
  <c r="M19" i="58"/>
  <c r="N18" i="58"/>
  <c r="O18" i="58" s="1"/>
  <c r="M19" i="57"/>
  <c r="N18" i="57"/>
  <c r="O18" i="57" s="1"/>
  <c r="S19" i="58"/>
  <c r="T18" i="58"/>
  <c r="N18" i="59"/>
  <c r="O18" i="59" s="1"/>
  <c r="M19" i="59"/>
  <c r="T18" i="61"/>
  <c r="S19" i="61"/>
  <c r="N18" i="56"/>
  <c r="O18" i="56" s="1"/>
  <c r="M19" i="56"/>
  <c r="O17" i="55"/>
  <c r="T18" i="56"/>
  <c r="S19" i="56"/>
  <c r="O17" i="52"/>
  <c r="S19" i="64"/>
  <c r="S20" i="64"/>
  <c r="T18" i="64"/>
  <c r="S20" i="65"/>
  <c r="S19" i="65"/>
  <c r="T18" i="65"/>
  <c r="M19" i="64"/>
  <c r="N18" i="64"/>
  <c r="O18" i="64" s="1"/>
  <c r="N18" i="63"/>
  <c r="O18" i="63" s="1"/>
  <c r="M19" i="63"/>
  <c r="N18" i="60"/>
  <c r="O18" i="60" s="1"/>
  <c r="M19" i="60"/>
  <c r="T18" i="59"/>
  <c r="S19" i="59"/>
  <c r="T18" i="53"/>
  <c r="S19" i="53"/>
  <c r="N18" i="53"/>
  <c r="O18" i="53" s="1"/>
  <c r="M19" i="53"/>
  <c r="O17" i="53"/>
  <c r="S18" i="63"/>
  <c r="T16" i="63"/>
  <c r="T17" i="63" s="1"/>
  <c r="O17" i="57"/>
  <c r="O8" i="46"/>
  <c r="O25" i="49"/>
  <c r="J29" i="48"/>
  <c r="K30" i="48" s="1"/>
  <c r="L30" i="48" s="1"/>
  <c r="N30" i="48" s="1"/>
  <c r="K29" i="48"/>
  <c r="F29" i="48"/>
  <c r="E29" i="48"/>
  <c r="F30" i="48" s="1"/>
  <c r="G30" i="48" s="1"/>
  <c r="I30" i="48" s="1"/>
  <c r="Q29" i="48"/>
  <c r="R29" i="48" s="1"/>
  <c r="T29" i="48" s="1"/>
  <c r="Q29" i="44"/>
  <c r="R29" i="44" s="1"/>
  <c r="T29" i="44" s="1"/>
  <c r="Q29" i="45"/>
  <c r="R29" i="45" s="1"/>
  <c r="T29" i="45" s="1"/>
  <c r="K29" i="45"/>
  <c r="L29" i="45" s="1"/>
  <c r="N29" i="45" s="1"/>
  <c r="F29" i="45"/>
  <c r="G29" i="45" s="1"/>
  <c r="I29" i="45" s="1"/>
  <c r="Q35" i="46"/>
  <c r="R35" i="46" s="1"/>
  <c r="T35" i="46" s="1"/>
  <c r="K35" i="46"/>
  <c r="L35" i="46" s="1"/>
  <c r="N35" i="46" s="1"/>
  <c r="F35" i="46"/>
  <c r="G35" i="46" s="1"/>
  <c r="I35" i="46" s="1"/>
  <c r="T40" i="51" l="1"/>
  <c r="S41" i="51"/>
  <c r="H65" i="48"/>
  <c r="I64" i="48"/>
  <c r="N39" i="65"/>
  <c r="O39" i="65" s="1"/>
  <c r="M41" i="65"/>
  <c r="M42" i="51"/>
  <c r="N41" i="51"/>
  <c r="O41" i="51" s="1"/>
  <c r="O63" i="48"/>
  <c r="S64" i="48"/>
  <c r="T63" i="48"/>
  <c r="M65" i="48"/>
  <c r="N64" i="48"/>
  <c r="N38" i="65"/>
  <c r="O38" i="65" s="1"/>
  <c r="M40" i="65"/>
  <c r="O54" i="45"/>
  <c r="T53" i="49"/>
  <c r="S54" i="49"/>
  <c r="N53" i="49"/>
  <c r="M54" i="49"/>
  <c r="I53" i="49"/>
  <c r="H54" i="49"/>
  <c r="S62" i="46"/>
  <c r="T61" i="46"/>
  <c r="O52" i="49"/>
  <c r="M56" i="45"/>
  <c r="N55" i="45"/>
  <c r="S56" i="45"/>
  <c r="T55" i="45"/>
  <c r="H56" i="45"/>
  <c r="I55" i="45"/>
  <c r="M29" i="52"/>
  <c r="N28" i="52"/>
  <c r="O28" i="52" s="1"/>
  <c r="S29" i="55"/>
  <c r="T28" i="55"/>
  <c r="S29" i="52"/>
  <c r="T28" i="52"/>
  <c r="T26" i="60"/>
  <c r="S27" i="60"/>
  <c r="M29" i="54"/>
  <c r="N28" i="54"/>
  <c r="O28" i="54" s="1"/>
  <c r="M29" i="55"/>
  <c r="N28" i="55"/>
  <c r="O28" i="55" s="1"/>
  <c r="S29" i="54"/>
  <c r="T28" i="54"/>
  <c r="S29" i="62"/>
  <c r="T28" i="62"/>
  <c r="M29" i="62"/>
  <c r="N28" i="62"/>
  <c r="O28" i="62" s="1"/>
  <c r="S21" i="65"/>
  <c r="T19" i="65"/>
  <c r="S21" i="64"/>
  <c r="T19" i="64"/>
  <c r="S20" i="58"/>
  <c r="T19" i="58"/>
  <c r="T18" i="63"/>
  <c r="S19" i="63"/>
  <c r="M20" i="60"/>
  <c r="N19" i="60"/>
  <c r="O19" i="60" s="1"/>
  <c r="T20" i="65"/>
  <c r="S22" i="65"/>
  <c r="M20" i="56"/>
  <c r="N19" i="56"/>
  <c r="O19" i="56" s="1"/>
  <c r="M20" i="59"/>
  <c r="N19" i="59"/>
  <c r="O19" i="59" s="1"/>
  <c r="M20" i="64"/>
  <c r="N19" i="64"/>
  <c r="O19" i="64" s="1"/>
  <c r="S20" i="56"/>
  <c r="T19" i="56"/>
  <c r="M20" i="57"/>
  <c r="N19" i="57"/>
  <c r="O19" i="57" s="1"/>
  <c r="M20" i="61"/>
  <c r="N19" i="61"/>
  <c r="O19" i="61" s="1"/>
  <c r="S20" i="59"/>
  <c r="T19" i="59"/>
  <c r="M20" i="63"/>
  <c r="N19" i="63"/>
  <c r="O19" i="63" s="1"/>
  <c r="S22" i="64"/>
  <c r="T20" i="64"/>
  <c r="S20" i="61"/>
  <c r="T19" i="61"/>
  <c r="M20" i="58"/>
  <c r="N19" i="58"/>
  <c r="O19" i="58" s="1"/>
  <c r="M20" i="53"/>
  <c r="N19" i="53"/>
  <c r="O19" i="53" s="1"/>
  <c r="S20" i="53"/>
  <c r="T19" i="53"/>
  <c r="O30" i="48"/>
  <c r="G29" i="48"/>
  <c r="I29" i="48" s="1"/>
  <c r="L29" i="48"/>
  <c r="N29" i="48" s="1"/>
  <c r="O29" i="45"/>
  <c r="O32" i="45" s="1"/>
  <c r="O35" i="46"/>
  <c r="Q34" i="46"/>
  <c r="R34" i="46" s="1"/>
  <c r="T34" i="46" s="1"/>
  <c r="T46" i="46" s="1"/>
  <c r="K34" i="46"/>
  <c r="L34" i="46" s="1"/>
  <c r="N34" i="46" s="1"/>
  <c r="F34" i="46"/>
  <c r="G34" i="46" s="1"/>
  <c r="I34" i="46" s="1"/>
  <c r="I46" i="46" s="1"/>
  <c r="J28" i="44"/>
  <c r="K29" i="44" s="1"/>
  <c r="L29" i="44" s="1"/>
  <c r="N29" i="44" s="1"/>
  <c r="Q28" i="44"/>
  <c r="R28" i="44" s="1"/>
  <c r="T28" i="44" s="1"/>
  <c r="T40" i="44" s="1"/>
  <c r="K28" i="44"/>
  <c r="F28" i="44"/>
  <c r="E28" i="44"/>
  <c r="F29" i="44" s="1"/>
  <c r="G29" i="44" s="1"/>
  <c r="I29" i="44" s="1"/>
  <c r="Q28" i="48"/>
  <c r="R28" i="48" s="1"/>
  <c r="T28" i="48" s="1"/>
  <c r="T40" i="48" s="1"/>
  <c r="K28" i="48"/>
  <c r="L28" i="48" s="1"/>
  <c r="N28" i="48" s="1"/>
  <c r="N40" i="48" s="1"/>
  <c r="F28" i="48"/>
  <c r="G28" i="48" s="1"/>
  <c r="I28" i="48" s="1"/>
  <c r="O55" i="45" l="1"/>
  <c r="M67" i="48"/>
  <c r="N65" i="48"/>
  <c r="M44" i="65"/>
  <c r="N41" i="65"/>
  <c r="O41" i="65" s="1"/>
  <c r="S65" i="48"/>
  <c r="T64" i="48"/>
  <c r="N40" i="65"/>
  <c r="O40" i="65" s="1"/>
  <c r="M42" i="65"/>
  <c r="H67" i="48"/>
  <c r="I65" i="48"/>
  <c r="S42" i="51"/>
  <c r="T41" i="51"/>
  <c r="O64" i="48"/>
  <c r="M44" i="51"/>
  <c r="N42" i="51"/>
  <c r="O42" i="51" s="1"/>
  <c r="T62" i="46"/>
  <c r="S63" i="46"/>
  <c r="H55" i="49"/>
  <c r="I54" i="49"/>
  <c r="M55" i="49"/>
  <c r="N54" i="49"/>
  <c r="O53" i="49"/>
  <c r="S55" i="49"/>
  <c r="T54" i="49"/>
  <c r="S57" i="45"/>
  <c r="T56" i="45"/>
  <c r="M57" i="45"/>
  <c r="N56" i="45"/>
  <c r="I40" i="48"/>
  <c r="H57" i="45"/>
  <c r="I56" i="45"/>
  <c r="S28" i="60"/>
  <c r="T27" i="60"/>
  <c r="T29" i="62"/>
  <c r="S31" i="62"/>
  <c r="M31" i="55"/>
  <c r="N29" i="55"/>
  <c r="O29" i="55" s="1"/>
  <c r="S31" i="55"/>
  <c r="T29" i="55"/>
  <c r="N29" i="62"/>
  <c r="O29" i="62" s="1"/>
  <c r="M31" i="62"/>
  <c r="S31" i="54"/>
  <c r="T29" i="54"/>
  <c r="M31" i="54"/>
  <c r="N29" i="54"/>
  <c r="O29" i="54" s="1"/>
  <c r="S31" i="52"/>
  <c r="T29" i="52"/>
  <c r="M31" i="52"/>
  <c r="N29" i="52"/>
  <c r="O29" i="52" s="1"/>
  <c r="T22" i="65"/>
  <c r="S24" i="65"/>
  <c r="O29" i="48"/>
  <c r="T22" i="64"/>
  <c r="S24" i="64"/>
  <c r="T21" i="65"/>
  <c r="S23" i="65"/>
  <c r="S21" i="59"/>
  <c r="T20" i="59"/>
  <c r="M21" i="57"/>
  <c r="N20" i="57"/>
  <c r="O20" i="57" s="1"/>
  <c r="M21" i="64"/>
  <c r="N20" i="64"/>
  <c r="O20" i="64" s="1"/>
  <c r="M21" i="56"/>
  <c r="N20" i="56"/>
  <c r="O20" i="56" s="1"/>
  <c r="M21" i="60"/>
  <c r="N20" i="60"/>
  <c r="O20" i="60" s="1"/>
  <c r="S21" i="58"/>
  <c r="T20" i="58"/>
  <c r="S20" i="63"/>
  <c r="T19" i="63"/>
  <c r="S21" i="61"/>
  <c r="T20" i="61"/>
  <c r="M21" i="63"/>
  <c r="N20" i="63"/>
  <c r="O20" i="63" s="1"/>
  <c r="M21" i="61"/>
  <c r="N20" i="61"/>
  <c r="O20" i="61" s="1"/>
  <c r="S21" i="56"/>
  <c r="T20" i="56"/>
  <c r="M21" i="59"/>
  <c r="N20" i="59"/>
  <c r="O20" i="59" s="1"/>
  <c r="S23" i="64"/>
  <c r="T21" i="64"/>
  <c r="L28" i="44"/>
  <c r="N28" i="44" s="1"/>
  <c r="N40" i="44" s="1"/>
  <c r="M21" i="58"/>
  <c r="N20" i="58"/>
  <c r="O20" i="58" s="1"/>
  <c r="S21" i="53"/>
  <c r="T20" i="53"/>
  <c r="M21" i="53"/>
  <c r="N20" i="53"/>
  <c r="O20" i="53" s="1"/>
  <c r="N46" i="46"/>
  <c r="O34" i="46"/>
  <c r="O46" i="46" s="1"/>
  <c r="O29" i="44"/>
  <c r="G28" i="44"/>
  <c r="I28" i="44" s="1"/>
  <c r="O28" i="48"/>
  <c r="O40" i="48" s="1"/>
  <c r="O54" i="49" l="1"/>
  <c r="S44" i="51"/>
  <c r="T42" i="51"/>
  <c r="S67" i="48"/>
  <c r="T65" i="48"/>
  <c r="H68" i="48"/>
  <c r="I67" i="48"/>
  <c r="M46" i="65"/>
  <c r="N44" i="65"/>
  <c r="O44" i="65" s="1"/>
  <c r="M45" i="51"/>
  <c r="N44" i="51"/>
  <c r="O44" i="51" s="1"/>
  <c r="M45" i="65"/>
  <c r="N42" i="65"/>
  <c r="O42" i="65" s="1"/>
  <c r="O65" i="48"/>
  <c r="M68" i="48"/>
  <c r="N67" i="48"/>
  <c r="N55" i="49"/>
  <c r="M56" i="49"/>
  <c r="T57" i="45"/>
  <c r="S58" i="45"/>
  <c r="I57" i="45"/>
  <c r="H58" i="45"/>
  <c r="I55" i="49"/>
  <c r="H56" i="49"/>
  <c r="N57" i="45"/>
  <c r="M58" i="45"/>
  <c r="T55" i="49"/>
  <c r="S56" i="49"/>
  <c r="S64" i="46"/>
  <c r="T63" i="46"/>
  <c r="N31" i="52"/>
  <c r="O31" i="52" s="1"/>
  <c r="M32" i="52"/>
  <c r="T31" i="54"/>
  <c r="S32" i="54"/>
  <c r="N31" i="55"/>
  <c r="O31" i="55" s="1"/>
  <c r="M32" i="55"/>
  <c r="N31" i="62"/>
  <c r="O31" i="62" s="1"/>
  <c r="M32" i="62"/>
  <c r="T31" i="62"/>
  <c r="S32" i="62"/>
  <c r="T31" i="52"/>
  <c r="S32" i="52"/>
  <c r="O56" i="45"/>
  <c r="N31" i="54"/>
  <c r="O31" i="54" s="1"/>
  <c r="M32" i="54"/>
  <c r="T31" i="55"/>
  <c r="S32" i="55"/>
  <c r="S29" i="60"/>
  <c r="T28" i="60"/>
  <c r="T23" i="64"/>
  <c r="S25" i="64"/>
  <c r="S25" i="65"/>
  <c r="T23" i="65"/>
  <c r="S26" i="65"/>
  <c r="T24" i="65"/>
  <c r="S26" i="64"/>
  <c r="T24" i="64"/>
  <c r="S22" i="56"/>
  <c r="T21" i="56"/>
  <c r="M22" i="63"/>
  <c r="N21" i="63"/>
  <c r="O21" i="63" s="1"/>
  <c r="M22" i="60"/>
  <c r="N21" i="60"/>
  <c r="O21" i="60" s="1"/>
  <c r="M22" i="64"/>
  <c r="N21" i="64"/>
  <c r="O21" i="64" s="1"/>
  <c r="S22" i="59"/>
  <c r="T21" i="59"/>
  <c r="M22" i="58"/>
  <c r="N21" i="58"/>
  <c r="O21" i="58" s="1"/>
  <c r="M22" i="59"/>
  <c r="N21" i="59"/>
  <c r="O21" i="59" s="1"/>
  <c r="M22" i="61"/>
  <c r="N21" i="61"/>
  <c r="O21" i="61" s="1"/>
  <c r="S22" i="61"/>
  <c r="T21" i="61"/>
  <c r="S22" i="58"/>
  <c r="T21" i="58"/>
  <c r="M22" i="56"/>
  <c r="N21" i="56"/>
  <c r="O21" i="56" s="1"/>
  <c r="M22" i="57"/>
  <c r="N21" i="57"/>
  <c r="O21" i="57" s="1"/>
  <c r="S21" i="63"/>
  <c r="T20" i="63"/>
  <c r="S22" i="53"/>
  <c r="T21" i="53"/>
  <c r="M22" i="53"/>
  <c r="N21" i="53"/>
  <c r="O21" i="53" s="1"/>
  <c r="O28" i="44"/>
  <c r="O40" i="44" s="1"/>
  <c r="I40" i="44"/>
  <c r="Q24" i="49"/>
  <c r="R24" i="49" s="1"/>
  <c r="T24" i="49" s="1"/>
  <c r="T36" i="49" s="1"/>
  <c r="K24" i="49"/>
  <c r="L24" i="49" s="1"/>
  <c r="N24" i="49" s="1"/>
  <c r="N36" i="49" s="1"/>
  <c r="F24" i="49"/>
  <c r="G24" i="49" s="1"/>
  <c r="I24" i="49" s="1"/>
  <c r="I36" i="49" s="1"/>
  <c r="M47" i="65" l="1"/>
  <c r="N45" i="65"/>
  <c r="O45" i="65" s="1"/>
  <c r="H69" i="48"/>
  <c r="I68" i="48"/>
  <c r="O67" i="48"/>
  <c r="M46" i="51"/>
  <c r="N45" i="51"/>
  <c r="O45" i="51" s="1"/>
  <c r="S68" i="48"/>
  <c r="T67" i="48"/>
  <c r="M69" i="48"/>
  <c r="N68" i="48"/>
  <c r="M48" i="65"/>
  <c r="N46" i="65"/>
  <c r="O46" i="65" s="1"/>
  <c r="S45" i="51"/>
  <c r="T44" i="51"/>
  <c r="M59" i="45"/>
  <c r="N58" i="45"/>
  <c r="S59" i="45"/>
  <c r="T58" i="45"/>
  <c r="O57" i="45"/>
  <c r="S57" i="49"/>
  <c r="T56" i="49"/>
  <c r="H57" i="49"/>
  <c r="I56" i="49"/>
  <c r="M57" i="49"/>
  <c r="N56" i="49"/>
  <c r="H59" i="45"/>
  <c r="I58" i="45"/>
  <c r="S65" i="46"/>
  <c r="T64" i="46"/>
  <c r="O55" i="49"/>
  <c r="S33" i="52"/>
  <c r="T32" i="52"/>
  <c r="S33" i="55"/>
  <c r="T32" i="55"/>
  <c r="M33" i="54"/>
  <c r="N32" i="54"/>
  <c r="O32" i="54" s="1"/>
  <c r="M33" i="55"/>
  <c r="N32" i="55"/>
  <c r="O32" i="55" s="1"/>
  <c r="S33" i="62"/>
  <c r="T32" i="62"/>
  <c r="S33" i="54"/>
  <c r="T32" i="54"/>
  <c r="M33" i="62"/>
  <c r="N32" i="62"/>
  <c r="O32" i="62" s="1"/>
  <c r="M33" i="52"/>
  <c r="N32" i="52"/>
  <c r="O32" i="52" s="1"/>
  <c r="T25" i="64"/>
  <c r="S27" i="64"/>
  <c r="T26" i="65"/>
  <c r="S28" i="65"/>
  <c r="T26" i="64"/>
  <c r="S28" i="64"/>
  <c r="T25" i="65"/>
  <c r="S27" i="65"/>
  <c r="S31" i="60"/>
  <c r="T29" i="60"/>
  <c r="N22" i="63"/>
  <c r="O22" i="63" s="1"/>
  <c r="M23" i="63"/>
  <c r="S22" i="63"/>
  <c r="T21" i="63"/>
  <c r="N22" i="53"/>
  <c r="O22" i="53" s="1"/>
  <c r="M23" i="53"/>
  <c r="M23" i="56"/>
  <c r="N22" i="56"/>
  <c r="O22" i="56" s="1"/>
  <c r="S23" i="61"/>
  <c r="T22" i="61"/>
  <c r="M23" i="59"/>
  <c r="N22" i="59"/>
  <c r="O22" i="59" s="1"/>
  <c r="S23" i="59"/>
  <c r="T22" i="59"/>
  <c r="M23" i="60"/>
  <c r="N22" i="60"/>
  <c r="O22" i="60" s="1"/>
  <c r="S23" i="56"/>
  <c r="T22" i="56"/>
  <c r="T22" i="53"/>
  <c r="S23" i="53"/>
  <c r="M23" i="57"/>
  <c r="N23" i="57" s="1"/>
  <c r="O23" i="57" s="1"/>
  <c r="N22" i="57"/>
  <c r="O22" i="57" s="1"/>
  <c r="S23" i="58"/>
  <c r="T22" i="58"/>
  <c r="M23" i="61"/>
  <c r="N22" i="61"/>
  <c r="O22" i="61" s="1"/>
  <c r="M23" i="58"/>
  <c r="N22" i="58"/>
  <c r="O22" i="58" s="1"/>
  <c r="M23" i="64"/>
  <c r="N22" i="64"/>
  <c r="O22" i="64" s="1"/>
  <c r="O24" i="49"/>
  <c r="O36" i="49" s="1"/>
  <c r="Q28" i="45"/>
  <c r="R28" i="45" s="1"/>
  <c r="T28" i="45" s="1"/>
  <c r="T40" i="45" s="1"/>
  <c r="K28" i="45"/>
  <c r="L28" i="45" s="1"/>
  <c r="N28" i="45" s="1"/>
  <c r="N40" i="45" s="1"/>
  <c r="F28" i="45"/>
  <c r="G28" i="45" s="1"/>
  <c r="I28" i="45" s="1"/>
  <c r="I40" i="45" s="1"/>
  <c r="O68" i="48" l="1"/>
  <c r="O58" i="45"/>
  <c r="M50" i="65"/>
  <c r="N48" i="65"/>
  <c r="O48" i="65" s="1"/>
  <c r="M47" i="51"/>
  <c r="N46" i="51"/>
  <c r="O46" i="51" s="1"/>
  <c r="M70" i="48"/>
  <c r="N69" i="48"/>
  <c r="I69" i="48"/>
  <c r="H70" i="48"/>
  <c r="O56" i="49"/>
  <c r="S46" i="51"/>
  <c r="T45" i="51"/>
  <c r="S69" i="48"/>
  <c r="T68" i="48"/>
  <c r="M49" i="65"/>
  <c r="N47" i="65"/>
  <c r="O47" i="65" s="1"/>
  <c r="T57" i="49"/>
  <c r="S58" i="49"/>
  <c r="N57" i="49"/>
  <c r="M58" i="49"/>
  <c r="I57" i="49"/>
  <c r="H58" i="49"/>
  <c r="S60" i="45"/>
  <c r="T59" i="45"/>
  <c r="S66" i="46"/>
  <c r="T65" i="46"/>
  <c r="H60" i="45"/>
  <c r="I59" i="45"/>
  <c r="M60" i="45"/>
  <c r="N59" i="45"/>
  <c r="S34" i="54"/>
  <c r="T33" i="54"/>
  <c r="M34" i="54"/>
  <c r="N33" i="54"/>
  <c r="O33" i="54" s="1"/>
  <c r="M34" i="52"/>
  <c r="N33" i="52"/>
  <c r="O33" i="52" s="1"/>
  <c r="S34" i="62"/>
  <c r="T33" i="62"/>
  <c r="S34" i="55"/>
  <c r="T33" i="55"/>
  <c r="T31" i="60"/>
  <c r="S32" i="60"/>
  <c r="M34" i="62"/>
  <c r="N33" i="62"/>
  <c r="O33" i="62" s="1"/>
  <c r="M34" i="55"/>
  <c r="N33" i="55"/>
  <c r="O33" i="55" s="1"/>
  <c r="S34" i="52"/>
  <c r="T33" i="52"/>
  <c r="S29" i="65"/>
  <c r="T27" i="65"/>
  <c r="S31" i="65"/>
  <c r="T28" i="65"/>
  <c r="S31" i="64"/>
  <c r="T28" i="64"/>
  <c r="S29" i="64"/>
  <c r="T27" i="64"/>
  <c r="T23" i="53"/>
  <c r="S24" i="53"/>
  <c r="N23" i="58"/>
  <c r="O23" i="58" s="1"/>
  <c r="M24" i="58"/>
  <c r="T23" i="58"/>
  <c r="S24" i="58"/>
  <c r="N23" i="60"/>
  <c r="O23" i="60" s="1"/>
  <c r="M24" i="60"/>
  <c r="N23" i="59"/>
  <c r="O23" i="59" s="1"/>
  <c r="M24" i="59"/>
  <c r="N23" i="56"/>
  <c r="O23" i="56" s="1"/>
  <c r="M24" i="56"/>
  <c r="N23" i="53"/>
  <c r="O23" i="53" s="1"/>
  <c r="M24" i="53"/>
  <c r="N23" i="64"/>
  <c r="O23" i="64" s="1"/>
  <c r="M24" i="64"/>
  <c r="N23" i="61"/>
  <c r="O23" i="61" s="1"/>
  <c r="M24" i="61"/>
  <c r="T23" i="56"/>
  <c r="S24" i="56"/>
  <c r="T23" i="59"/>
  <c r="S24" i="59"/>
  <c r="T23" i="61"/>
  <c r="S24" i="61"/>
  <c r="T22" i="63"/>
  <c r="S23" i="63"/>
  <c r="M24" i="63"/>
  <c r="N23" i="63"/>
  <c r="O23" i="63" s="1"/>
  <c r="O28" i="45"/>
  <c r="Q21" i="49"/>
  <c r="R21" i="49" s="1"/>
  <c r="T21" i="49" s="1"/>
  <c r="K21" i="49"/>
  <c r="L21" i="49" s="1"/>
  <c r="N21" i="49" s="1"/>
  <c r="F21" i="49"/>
  <c r="G21" i="49" s="1"/>
  <c r="I21" i="49" s="1"/>
  <c r="Q25" i="44"/>
  <c r="R25" i="44" s="1"/>
  <c r="T25" i="44" s="1"/>
  <c r="K25" i="44"/>
  <c r="L25" i="44" s="1"/>
  <c r="N25" i="44" s="1"/>
  <c r="F25" i="44"/>
  <c r="G25" i="44" s="1"/>
  <c r="I25" i="44" s="1"/>
  <c r="K31" i="46"/>
  <c r="L31" i="46" s="1"/>
  <c r="N31" i="46" s="1"/>
  <c r="F31" i="46"/>
  <c r="G31" i="46" s="1"/>
  <c r="I31" i="46" s="1"/>
  <c r="K25" i="45"/>
  <c r="L25" i="45" s="1"/>
  <c r="N25" i="45" s="1"/>
  <c r="F25" i="45"/>
  <c r="G25" i="45" s="1"/>
  <c r="I25" i="45" s="1"/>
  <c r="Q25" i="45"/>
  <c r="R25" i="45" s="1"/>
  <c r="T25" i="45" s="1"/>
  <c r="Q31" i="46"/>
  <c r="R31" i="46" s="1"/>
  <c r="T31" i="46" s="1"/>
  <c r="O69" i="48" l="1"/>
  <c r="N49" i="65"/>
  <c r="O49" i="65" s="1"/>
  <c r="M51" i="65"/>
  <c r="N50" i="65"/>
  <c r="O50" i="65" s="1"/>
  <c r="M52" i="65"/>
  <c r="T66" i="46"/>
  <c r="S67" i="46"/>
  <c r="S70" i="48"/>
  <c r="T69" i="48"/>
  <c r="M71" i="48"/>
  <c r="N70" i="48"/>
  <c r="S47" i="51"/>
  <c r="T46" i="51"/>
  <c r="M48" i="51"/>
  <c r="N47" i="51"/>
  <c r="O47" i="51" s="1"/>
  <c r="I70" i="48"/>
  <c r="H71" i="48"/>
  <c r="H59" i="49"/>
  <c r="I58" i="49"/>
  <c r="O57" i="49"/>
  <c r="S59" i="49"/>
  <c r="T58" i="49"/>
  <c r="M59" i="49"/>
  <c r="N58" i="49"/>
  <c r="N34" i="55"/>
  <c r="O34" i="55" s="1"/>
  <c r="M35" i="55"/>
  <c r="T34" i="55"/>
  <c r="S35" i="55"/>
  <c r="H61" i="45"/>
  <c r="I60" i="45"/>
  <c r="N34" i="62"/>
  <c r="O34" i="62" s="1"/>
  <c r="M35" i="62"/>
  <c r="T34" i="62"/>
  <c r="S35" i="62"/>
  <c r="O59" i="45"/>
  <c r="M61" i="45"/>
  <c r="N60" i="45"/>
  <c r="S61" i="45"/>
  <c r="T60" i="45"/>
  <c r="N34" i="54"/>
  <c r="O34" i="54" s="1"/>
  <c r="M35" i="54"/>
  <c r="T34" i="54"/>
  <c r="S35" i="54"/>
  <c r="T34" i="52"/>
  <c r="S35" i="52"/>
  <c r="N34" i="52"/>
  <c r="O34" i="52" s="1"/>
  <c r="M35" i="52"/>
  <c r="S33" i="60"/>
  <c r="T32" i="60"/>
  <c r="T31" i="64"/>
  <c r="S33" i="64"/>
  <c r="T31" i="65"/>
  <c r="S33" i="65"/>
  <c r="T29" i="64"/>
  <c r="S32" i="64"/>
  <c r="T29" i="65"/>
  <c r="S32" i="65"/>
  <c r="S25" i="61"/>
  <c r="T24" i="61"/>
  <c r="S25" i="56"/>
  <c r="T24" i="56"/>
  <c r="M25" i="64"/>
  <c r="N24" i="64"/>
  <c r="O24" i="64" s="1"/>
  <c r="M25" i="56"/>
  <c r="N24" i="56"/>
  <c r="O24" i="56" s="1"/>
  <c r="M25" i="60"/>
  <c r="N24" i="60"/>
  <c r="O24" i="60" s="1"/>
  <c r="M25" i="58"/>
  <c r="N24" i="58"/>
  <c r="O24" i="58" s="1"/>
  <c r="N24" i="63"/>
  <c r="O24" i="63" s="1"/>
  <c r="M25" i="63"/>
  <c r="S25" i="59"/>
  <c r="T24" i="59"/>
  <c r="M25" i="61"/>
  <c r="N24" i="61"/>
  <c r="O24" i="61" s="1"/>
  <c r="M25" i="53"/>
  <c r="N24" i="53"/>
  <c r="O24" i="53" s="1"/>
  <c r="M25" i="59"/>
  <c r="N24" i="59"/>
  <c r="O24" i="59" s="1"/>
  <c r="S25" i="58"/>
  <c r="T24" i="58"/>
  <c r="S25" i="53"/>
  <c r="T24" i="53"/>
  <c r="S24" i="63"/>
  <c r="T23" i="63"/>
  <c r="O31" i="45"/>
  <c r="O34" i="45" s="1"/>
  <c r="O25" i="45"/>
  <c r="O31" i="46"/>
  <c r="O25" i="44"/>
  <c r="O21" i="49"/>
  <c r="Q25" i="48"/>
  <c r="R25" i="48" s="1"/>
  <c r="T25" i="48" s="1"/>
  <c r="K25" i="48"/>
  <c r="L25" i="48" s="1"/>
  <c r="N25" i="48" s="1"/>
  <c r="F25" i="48"/>
  <c r="G25" i="48" s="1"/>
  <c r="I25" i="48" s="1"/>
  <c r="O33" i="45" l="1"/>
  <c r="O35" i="45" s="1"/>
  <c r="O58" i="49"/>
  <c r="M54" i="65"/>
  <c r="N52" i="65"/>
  <c r="O52" i="65" s="1"/>
  <c r="O70" i="48"/>
  <c r="M53" i="65"/>
  <c r="N51" i="65"/>
  <c r="O51" i="65" s="1"/>
  <c r="I61" i="45"/>
  <c r="H62" i="45"/>
  <c r="N59" i="49"/>
  <c r="M60" i="49"/>
  <c r="I71" i="48"/>
  <c r="O71" i="48" s="1"/>
  <c r="H72" i="48"/>
  <c r="M72" i="48"/>
  <c r="N71" i="48"/>
  <c r="T59" i="49"/>
  <c r="S60" i="49"/>
  <c r="T61" i="45"/>
  <c r="S62" i="45"/>
  <c r="M49" i="51"/>
  <c r="N48" i="51"/>
  <c r="O48" i="51" s="1"/>
  <c r="S71" i="48"/>
  <c r="T70" i="48"/>
  <c r="S68" i="46"/>
  <c r="T67" i="46"/>
  <c r="N61" i="45"/>
  <c r="M62" i="45"/>
  <c r="I59" i="49"/>
  <c r="H60" i="49"/>
  <c r="S48" i="51"/>
  <c r="T47" i="51"/>
  <c r="T33" i="65"/>
  <c r="S35" i="65"/>
  <c r="S36" i="62"/>
  <c r="T35" i="62"/>
  <c r="S36" i="55"/>
  <c r="T35" i="55"/>
  <c r="T33" i="64"/>
  <c r="S35" i="64"/>
  <c r="M36" i="62"/>
  <c r="N35" i="62"/>
  <c r="O35" i="62" s="1"/>
  <c r="M36" i="55"/>
  <c r="N35" i="55"/>
  <c r="O35" i="55" s="1"/>
  <c r="O60" i="45"/>
  <c r="M36" i="54"/>
  <c r="N35" i="54"/>
  <c r="O35" i="54" s="1"/>
  <c r="S36" i="54"/>
  <c r="T35" i="54"/>
  <c r="T35" i="52"/>
  <c r="S36" i="52"/>
  <c r="N35" i="52"/>
  <c r="O35" i="52" s="1"/>
  <c r="M36" i="52"/>
  <c r="S34" i="65"/>
  <c r="T32" i="65"/>
  <c r="S34" i="64"/>
  <c r="T32" i="64"/>
  <c r="S34" i="60"/>
  <c r="T33" i="60"/>
  <c r="T24" i="63"/>
  <c r="S25" i="63"/>
  <c r="S26" i="58"/>
  <c r="T25" i="58"/>
  <c r="M26" i="53"/>
  <c r="N25" i="53"/>
  <c r="O25" i="53" s="1"/>
  <c r="S26" i="59"/>
  <c r="T25" i="59"/>
  <c r="M26" i="58"/>
  <c r="N25" i="58"/>
  <c r="O25" i="58" s="1"/>
  <c r="M26" i="56"/>
  <c r="N25" i="56"/>
  <c r="O25" i="56" s="1"/>
  <c r="S26" i="56"/>
  <c r="T25" i="56"/>
  <c r="M26" i="63"/>
  <c r="N25" i="63"/>
  <c r="O25" i="63" s="1"/>
  <c r="S26" i="53"/>
  <c r="T25" i="53"/>
  <c r="M26" i="59"/>
  <c r="N25" i="59"/>
  <c r="O25" i="59" s="1"/>
  <c r="M26" i="61"/>
  <c r="N25" i="61"/>
  <c r="O25" i="61" s="1"/>
  <c r="M26" i="60"/>
  <c r="N25" i="60"/>
  <c r="O25" i="60" s="1"/>
  <c r="M26" i="64"/>
  <c r="N25" i="64"/>
  <c r="O25" i="64" s="1"/>
  <c r="S26" i="61"/>
  <c r="T25" i="61"/>
  <c r="O36" i="45"/>
  <c r="O25" i="48"/>
  <c r="J9" i="46"/>
  <c r="J10" i="46"/>
  <c r="J11" i="46"/>
  <c r="J12" i="46"/>
  <c r="J13" i="46"/>
  <c r="J14" i="46"/>
  <c r="J15" i="46"/>
  <c r="J16" i="46"/>
  <c r="J28" i="46"/>
  <c r="P28" i="46"/>
  <c r="J29" i="46"/>
  <c r="P29" i="46"/>
  <c r="N54" i="65" l="1"/>
  <c r="O54" i="65" s="1"/>
  <c r="M57" i="65"/>
  <c r="M61" i="65" s="1"/>
  <c r="N61" i="65" s="1"/>
  <c r="O61" i="65" s="1"/>
  <c r="N53" i="65"/>
  <c r="O53" i="65" s="1"/>
  <c r="M55" i="65"/>
  <c r="O61" i="45"/>
  <c r="S63" i="45"/>
  <c r="T62" i="45"/>
  <c r="H73" i="48"/>
  <c r="I72" i="48"/>
  <c r="S49" i="51"/>
  <c r="T48" i="51"/>
  <c r="S69" i="46"/>
  <c r="T68" i="46"/>
  <c r="H61" i="49"/>
  <c r="I60" i="49"/>
  <c r="S61" i="49"/>
  <c r="T60" i="49"/>
  <c r="M61" i="49"/>
  <c r="N60" i="49"/>
  <c r="S72" i="48"/>
  <c r="T71" i="48"/>
  <c r="O59" i="49"/>
  <c r="M63" i="45"/>
  <c r="N62" i="45"/>
  <c r="H63" i="45"/>
  <c r="I62" i="45"/>
  <c r="M50" i="51"/>
  <c r="N49" i="51"/>
  <c r="O49" i="51" s="1"/>
  <c r="M73" i="48"/>
  <c r="N72" i="48"/>
  <c r="M37" i="55"/>
  <c r="N36" i="55"/>
  <c r="O36" i="55" s="1"/>
  <c r="S37" i="55"/>
  <c r="T36" i="55"/>
  <c r="T34" i="65"/>
  <c r="S36" i="65"/>
  <c r="T34" i="64"/>
  <c r="S36" i="64"/>
  <c r="N36" i="52"/>
  <c r="O36" i="52" s="1"/>
  <c r="M37" i="52"/>
  <c r="M37" i="62"/>
  <c r="N36" i="62"/>
  <c r="O36" i="62" s="1"/>
  <c r="S37" i="62"/>
  <c r="T36" i="62"/>
  <c r="T34" i="60"/>
  <c r="S35" i="60"/>
  <c r="S37" i="64"/>
  <c r="T35" i="64"/>
  <c r="S37" i="65"/>
  <c r="T35" i="65"/>
  <c r="T36" i="52"/>
  <c r="S37" i="52"/>
  <c r="S37" i="54"/>
  <c r="T36" i="54"/>
  <c r="M37" i="54"/>
  <c r="N36" i="54"/>
  <c r="O36" i="54" s="1"/>
  <c r="T26" i="61"/>
  <c r="S27" i="61"/>
  <c r="N26" i="60"/>
  <c r="O26" i="60" s="1"/>
  <c r="M27" i="60"/>
  <c r="N26" i="59"/>
  <c r="O26" i="59" s="1"/>
  <c r="M27" i="59"/>
  <c r="N26" i="63"/>
  <c r="O26" i="63" s="1"/>
  <c r="M27" i="63"/>
  <c r="N26" i="56"/>
  <c r="O26" i="56" s="1"/>
  <c r="M27" i="56"/>
  <c r="T26" i="59"/>
  <c r="S27" i="59"/>
  <c r="T26" i="58"/>
  <c r="S27" i="58"/>
  <c r="N26" i="64"/>
  <c r="O26" i="64" s="1"/>
  <c r="M27" i="64"/>
  <c r="N26" i="61"/>
  <c r="O26" i="61" s="1"/>
  <c r="M27" i="61"/>
  <c r="T26" i="53"/>
  <c r="S27" i="53"/>
  <c r="T26" i="56"/>
  <c r="S27" i="56"/>
  <c r="N26" i="58"/>
  <c r="O26" i="58" s="1"/>
  <c r="M27" i="58"/>
  <c r="N26" i="53"/>
  <c r="O26" i="53" s="1"/>
  <c r="M27" i="53"/>
  <c r="S26" i="63"/>
  <c r="T25" i="63"/>
  <c r="O38" i="45"/>
  <c r="O37" i="45"/>
  <c r="O39" i="45" s="1"/>
  <c r="P9" i="46"/>
  <c r="L7" i="46"/>
  <c r="N7" i="46" s="1"/>
  <c r="K20" i="46"/>
  <c r="L20" i="46" s="1"/>
  <c r="N20" i="46" s="1"/>
  <c r="K17" i="46"/>
  <c r="L17" i="46" s="1"/>
  <c r="N17" i="46" s="1"/>
  <c r="K16" i="46"/>
  <c r="L16" i="46" s="1"/>
  <c r="N16" i="46" s="1"/>
  <c r="K15" i="46"/>
  <c r="L15" i="46" s="1"/>
  <c r="N15" i="46" s="1"/>
  <c r="K14" i="46"/>
  <c r="K13" i="46"/>
  <c r="L13" i="46" s="1"/>
  <c r="N13" i="46" s="1"/>
  <c r="K12" i="46"/>
  <c r="K11" i="46"/>
  <c r="L11" i="46" s="1"/>
  <c r="N11" i="46" s="1"/>
  <c r="K10" i="46"/>
  <c r="L9" i="46"/>
  <c r="N9" i="46" s="1"/>
  <c r="F14" i="46"/>
  <c r="F13" i="46"/>
  <c r="G13" i="46" s="1"/>
  <c r="I13" i="46" s="1"/>
  <c r="F12" i="46"/>
  <c r="G12" i="46" s="1"/>
  <c r="I12" i="46" s="1"/>
  <c r="F11" i="46"/>
  <c r="G11" i="46" s="1"/>
  <c r="I11" i="46" s="1"/>
  <c r="F10" i="46"/>
  <c r="G10" i="46" s="1"/>
  <c r="I10" i="46" s="1"/>
  <c r="G9" i="46"/>
  <c r="I9" i="46" s="1"/>
  <c r="G7" i="46"/>
  <c r="I7" i="46" s="1"/>
  <c r="R7" i="48"/>
  <c r="T7" i="48" s="1"/>
  <c r="Q9" i="48"/>
  <c r="R9" i="48" s="1"/>
  <c r="T9" i="48" s="1"/>
  <c r="Q8" i="48"/>
  <c r="R8" i="48" s="1"/>
  <c r="T8" i="48" s="1"/>
  <c r="Q9" i="44"/>
  <c r="R9" i="44" s="1"/>
  <c r="T9" i="44" s="1"/>
  <c r="Q8" i="44"/>
  <c r="R8" i="44" s="1"/>
  <c r="T8" i="44" s="1"/>
  <c r="R7" i="44"/>
  <c r="T7" i="44" s="1"/>
  <c r="O72" i="48" l="1"/>
  <c r="M58" i="65"/>
  <c r="N55" i="65"/>
  <c r="O55" i="65" s="1"/>
  <c r="M60" i="65"/>
  <c r="M59" i="65"/>
  <c r="M66" i="65" s="1"/>
  <c r="N66" i="65" s="1"/>
  <c r="O66" i="65" s="1"/>
  <c r="N57" i="65"/>
  <c r="N50" i="51"/>
  <c r="O50" i="51" s="1"/>
  <c r="M51" i="51"/>
  <c r="I73" i="48"/>
  <c r="H74" i="48"/>
  <c r="N73" i="48"/>
  <c r="M74" i="48"/>
  <c r="M64" i="45"/>
  <c r="N63" i="45"/>
  <c r="S63" i="49"/>
  <c r="T61" i="49"/>
  <c r="S50" i="51"/>
  <c r="T49" i="51"/>
  <c r="S73" i="48"/>
  <c r="T72" i="48"/>
  <c r="H63" i="49"/>
  <c r="I61" i="49"/>
  <c r="H64" i="45"/>
  <c r="I63" i="45"/>
  <c r="O60" i="49"/>
  <c r="O62" i="45"/>
  <c r="M63" i="49"/>
  <c r="N61" i="49"/>
  <c r="S70" i="46"/>
  <c r="T69" i="46"/>
  <c r="S64" i="45"/>
  <c r="T63" i="45"/>
  <c r="T37" i="65"/>
  <c r="S39" i="65"/>
  <c r="T37" i="64"/>
  <c r="S39" i="64"/>
  <c r="T37" i="54"/>
  <c r="S38" i="54"/>
  <c r="M38" i="62"/>
  <c r="N37" i="62"/>
  <c r="O37" i="62" s="1"/>
  <c r="S38" i="52"/>
  <c r="T37" i="52"/>
  <c r="S36" i="60"/>
  <c r="T35" i="60"/>
  <c r="M38" i="52"/>
  <c r="N37" i="52"/>
  <c r="O37" i="52" s="1"/>
  <c r="S38" i="55"/>
  <c r="T37" i="55"/>
  <c r="S38" i="64"/>
  <c r="T36" i="64"/>
  <c r="S38" i="65"/>
  <c r="T36" i="65"/>
  <c r="N37" i="54"/>
  <c r="O37" i="54" s="1"/>
  <c r="M38" i="54"/>
  <c r="S38" i="62"/>
  <c r="T37" i="62"/>
  <c r="M38" i="55"/>
  <c r="N37" i="55"/>
  <c r="O37" i="55" s="1"/>
  <c r="M28" i="58"/>
  <c r="N27" i="58"/>
  <c r="O27" i="58" s="1"/>
  <c r="S28" i="53"/>
  <c r="T27" i="53"/>
  <c r="M28" i="64"/>
  <c r="N27" i="64"/>
  <c r="O27" i="64" s="1"/>
  <c r="S28" i="59"/>
  <c r="T27" i="59"/>
  <c r="M28" i="63"/>
  <c r="N27" i="63"/>
  <c r="O27" i="63" s="1"/>
  <c r="M28" i="60"/>
  <c r="N27" i="60"/>
  <c r="O27" i="60" s="1"/>
  <c r="T26" i="63"/>
  <c r="S27" i="63"/>
  <c r="M28" i="53"/>
  <c r="N27" i="53"/>
  <c r="O27" i="53" s="1"/>
  <c r="S28" i="56"/>
  <c r="T27" i="56"/>
  <c r="M28" i="61"/>
  <c r="N27" i="61"/>
  <c r="O27" i="61" s="1"/>
  <c r="S28" i="58"/>
  <c r="T27" i="58"/>
  <c r="M28" i="56"/>
  <c r="N27" i="56"/>
  <c r="O27" i="56" s="1"/>
  <c r="M28" i="59"/>
  <c r="N27" i="59"/>
  <c r="O27" i="59" s="1"/>
  <c r="S28" i="61"/>
  <c r="T27" i="61"/>
  <c r="O40" i="45"/>
  <c r="O7" i="46"/>
  <c r="O11" i="46"/>
  <c r="O9" i="46"/>
  <c r="O13" i="46"/>
  <c r="L10" i="46"/>
  <c r="N10" i="46" s="1"/>
  <c r="O10" i="46" s="1"/>
  <c r="L12" i="46"/>
  <c r="N12" i="46" s="1"/>
  <c r="O12" i="46" s="1"/>
  <c r="L14" i="46"/>
  <c r="N14" i="46" s="1"/>
  <c r="N60" i="65" l="1"/>
  <c r="O60" i="65" s="1"/>
  <c r="M67" i="65"/>
  <c r="N67" i="65" s="1"/>
  <c r="O67" i="65" s="1"/>
  <c r="M63" i="65"/>
  <c r="N63" i="65" s="1"/>
  <c r="O63" i="65" s="1"/>
  <c r="M64" i="65"/>
  <c r="N64" i="65" s="1"/>
  <c r="O64" i="65" s="1"/>
  <c r="O57" i="65"/>
  <c r="N59" i="65"/>
  <c r="O59" i="65" s="1"/>
  <c r="M65" i="65"/>
  <c r="N65" i="65" s="1"/>
  <c r="O65" i="65" s="1"/>
  <c r="O73" i="48"/>
  <c r="O61" i="49"/>
  <c r="M62" i="65"/>
  <c r="N62" i="65" s="1"/>
  <c r="O62" i="65" s="1"/>
  <c r="N58" i="65"/>
  <c r="O58" i="65" s="1"/>
  <c r="T50" i="51"/>
  <c r="S51" i="51"/>
  <c r="H75" i="48"/>
  <c r="I74" i="48"/>
  <c r="M75" i="48"/>
  <c r="N74" i="48"/>
  <c r="M52" i="51"/>
  <c r="N51" i="51"/>
  <c r="O51" i="51" s="1"/>
  <c r="T73" i="48"/>
  <c r="S74" i="48"/>
  <c r="T39" i="64"/>
  <c r="S41" i="64"/>
  <c r="S72" i="46"/>
  <c r="T70" i="46"/>
  <c r="H65" i="45"/>
  <c r="I64" i="45"/>
  <c r="T39" i="65"/>
  <c r="S41" i="65"/>
  <c r="M64" i="49"/>
  <c r="N63" i="49"/>
  <c r="H64" i="49"/>
  <c r="I63" i="49"/>
  <c r="S64" i="49"/>
  <c r="T63" i="49"/>
  <c r="O63" i="45"/>
  <c r="S65" i="45"/>
  <c r="T64" i="45"/>
  <c r="M65" i="45"/>
  <c r="N64" i="45"/>
  <c r="T38" i="65"/>
  <c r="S40" i="65"/>
  <c r="T38" i="64"/>
  <c r="S40" i="64"/>
  <c r="T38" i="55"/>
  <c r="S39" i="55"/>
  <c r="N38" i="55"/>
  <c r="O38" i="55" s="1"/>
  <c r="M39" i="55"/>
  <c r="T38" i="52"/>
  <c r="S39" i="52"/>
  <c r="N38" i="52"/>
  <c r="O38" i="52" s="1"/>
  <c r="M39" i="52"/>
  <c r="N38" i="62"/>
  <c r="O38" i="62" s="1"/>
  <c r="M39" i="62"/>
  <c r="T38" i="62"/>
  <c r="S39" i="62"/>
  <c r="T38" i="54"/>
  <c r="S39" i="54"/>
  <c r="N38" i="54"/>
  <c r="O38" i="54" s="1"/>
  <c r="M39" i="54"/>
  <c r="S37" i="60"/>
  <c r="T36" i="60"/>
  <c r="S29" i="61"/>
  <c r="T28" i="61"/>
  <c r="M29" i="56"/>
  <c r="N28" i="56"/>
  <c r="O28" i="56" s="1"/>
  <c r="M29" i="61"/>
  <c r="N28" i="61"/>
  <c r="O28" i="61" s="1"/>
  <c r="M29" i="53"/>
  <c r="N28" i="53"/>
  <c r="O28" i="53" s="1"/>
  <c r="M29" i="60"/>
  <c r="N28" i="60"/>
  <c r="O28" i="60" s="1"/>
  <c r="S29" i="59"/>
  <c r="T28" i="59"/>
  <c r="S29" i="53"/>
  <c r="T28" i="53"/>
  <c r="S28" i="63"/>
  <c r="T27" i="63"/>
  <c r="M29" i="59"/>
  <c r="N28" i="59"/>
  <c r="O28" i="59" s="1"/>
  <c r="S29" i="58"/>
  <c r="T28" i="58"/>
  <c r="S29" i="56"/>
  <c r="T28" i="56"/>
  <c r="M29" i="63"/>
  <c r="N28" i="63"/>
  <c r="O28" i="63" s="1"/>
  <c r="M29" i="64"/>
  <c r="N28" i="64"/>
  <c r="O28" i="64" s="1"/>
  <c r="M29" i="58"/>
  <c r="N28" i="58"/>
  <c r="O28" i="58" s="1"/>
  <c r="N18" i="46"/>
  <c r="R7" i="45"/>
  <c r="T7" i="45" s="1"/>
  <c r="Q9" i="45"/>
  <c r="R9" i="45" s="1"/>
  <c r="T9" i="45" s="1"/>
  <c r="Q8" i="45"/>
  <c r="R8" i="45" s="1"/>
  <c r="T8" i="45" s="1"/>
  <c r="N68" i="65" l="1"/>
  <c r="O68" i="65"/>
  <c r="O74" i="48"/>
  <c r="O63" i="49"/>
  <c r="M76" i="48"/>
  <c r="N75" i="48"/>
  <c r="S75" i="48"/>
  <c r="T74" i="48"/>
  <c r="H76" i="48"/>
  <c r="I75" i="48"/>
  <c r="S52" i="51"/>
  <c r="T51" i="51"/>
  <c r="M53" i="51"/>
  <c r="N52" i="51"/>
  <c r="O52" i="51" s="1"/>
  <c r="M67" i="45"/>
  <c r="N65" i="45"/>
  <c r="T40" i="64"/>
  <c r="S42" i="64"/>
  <c r="H65" i="49"/>
  <c r="I64" i="49"/>
  <c r="H67" i="45"/>
  <c r="I65" i="45"/>
  <c r="S67" i="45"/>
  <c r="T65" i="45"/>
  <c r="T40" i="65"/>
  <c r="S42" i="65"/>
  <c r="M65" i="49"/>
  <c r="N64" i="49"/>
  <c r="S73" i="46"/>
  <c r="T72" i="46"/>
  <c r="T41" i="65"/>
  <c r="S44" i="65"/>
  <c r="S44" i="64"/>
  <c r="T41" i="64"/>
  <c r="O64" i="45"/>
  <c r="S65" i="49"/>
  <c r="T64" i="49"/>
  <c r="M40" i="55"/>
  <c r="N39" i="55"/>
  <c r="O39" i="55" s="1"/>
  <c r="S40" i="55"/>
  <c r="T39" i="55"/>
  <c r="T39" i="54"/>
  <c r="S40" i="54"/>
  <c r="N39" i="54"/>
  <c r="O39" i="54" s="1"/>
  <c r="M40" i="54"/>
  <c r="M40" i="52"/>
  <c r="N39" i="52"/>
  <c r="O39" i="52" s="1"/>
  <c r="S40" i="52"/>
  <c r="T39" i="52"/>
  <c r="S40" i="62"/>
  <c r="T39" i="62"/>
  <c r="M40" i="62"/>
  <c r="N39" i="62"/>
  <c r="O39" i="62" s="1"/>
  <c r="S38" i="60"/>
  <c r="T37" i="60"/>
  <c r="M31" i="58"/>
  <c r="N29" i="58"/>
  <c r="O29" i="58" s="1"/>
  <c r="M31" i="63"/>
  <c r="N29" i="63"/>
  <c r="O29" i="63" s="1"/>
  <c r="S31" i="58"/>
  <c r="T29" i="58"/>
  <c r="S29" i="63"/>
  <c r="T28" i="63"/>
  <c r="S31" i="59"/>
  <c r="T29" i="59"/>
  <c r="M31" i="53"/>
  <c r="N29" i="53"/>
  <c r="O29" i="53" s="1"/>
  <c r="M31" i="56"/>
  <c r="N29" i="56"/>
  <c r="O29" i="56" s="1"/>
  <c r="M31" i="64"/>
  <c r="N29" i="64"/>
  <c r="O29" i="64" s="1"/>
  <c r="S31" i="56"/>
  <c r="T29" i="56"/>
  <c r="M31" i="59"/>
  <c r="N29" i="59"/>
  <c r="O29" i="59" s="1"/>
  <c r="S31" i="53"/>
  <c r="T29" i="53"/>
  <c r="M31" i="60"/>
  <c r="N29" i="60"/>
  <c r="O29" i="60" s="1"/>
  <c r="M31" i="61"/>
  <c r="N29" i="61"/>
  <c r="O29" i="61" s="1"/>
  <c r="S31" i="61"/>
  <c r="T29" i="61"/>
  <c r="R7" i="46"/>
  <c r="T7" i="46" s="1"/>
  <c r="Q10" i="46"/>
  <c r="R10" i="46" s="1"/>
  <c r="T10" i="46" s="1"/>
  <c r="Q11" i="46"/>
  <c r="R11" i="46" s="1"/>
  <c r="T11" i="46" s="1"/>
  <c r="Q12" i="46"/>
  <c r="R12" i="46" s="1"/>
  <c r="T12" i="46" s="1"/>
  <c r="Q13" i="46"/>
  <c r="R13" i="46" s="1"/>
  <c r="T13" i="46" s="1"/>
  <c r="Q14" i="46"/>
  <c r="R14" i="46" s="1"/>
  <c r="T14" i="46" s="1"/>
  <c r="Q15" i="46"/>
  <c r="R15" i="46" s="1"/>
  <c r="T15" i="46" s="1"/>
  <c r="Q16" i="46"/>
  <c r="R16" i="46" s="1"/>
  <c r="T16" i="46" s="1"/>
  <c r="R9" i="46"/>
  <c r="T9" i="46" s="1"/>
  <c r="G14" i="46"/>
  <c r="I14" i="46" s="1"/>
  <c r="F15" i="46"/>
  <c r="G15" i="46" s="1"/>
  <c r="I15" i="46" s="1"/>
  <c r="O15" i="46" s="1"/>
  <c r="F16" i="46"/>
  <c r="G16" i="46" s="1"/>
  <c r="I16" i="46" s="1"/>
  <c r="O16" i="46" s="1"/>
  <c r="F17" i="46"/>
  <c r="G17" i="46" s="1"/>
  <c r="I17" i="46" s="1"/>
  <c r="O17" i="46" s="1"/>
  <c r="Q17" i="46"/>
  <c r="R17" i="46" s="1"/>
  <c r="T17" i="46" s="1"/>
  <c r="F20" i="46"/>
  <c r="G20" i="46" s="1"/>
  <c r="I20" i="46" s="1"/>
  <c r="Q20" i="46"/>
  <c r="R20" i="46" s="1"/>
  <c r="T20" i="46" s="1"/>
  <c r="F21" i="46"/>
  <c r="G21" i="46" s="1"/>
  <c r="I21" i="46" s="1"/>
  <c r="K21" i="46"/>
  <c r="L21" i="46" s="1"/>
  <c r="N21" i="46" s="1"/>
  <c r="Q21" i="46"/>
  <c r="R21" i="46" s="1"/>
  <c r="T21" i="46" s="1"/>
  <c r="H77" i="48" l="1"/>
  <c r="I76" i="48"/>
  <c r="O64" i="49"/>
  <c r="M54" i="51"/>
  <c r="N53" i="51"/>
  <c r="O53" i="51" s="1"/>
  <c r="S76" i="48"/>
  <c r="T75" i="48"/>
  <c r="O75" i="48"/>
  <c r="S53" i="51"/>
  <c r="T52" i="51"/>
  <c r="N76" i="48"/>
  <c r="M77" i="48"/>
  <c r="T40" i="62"/>
  <c r="S41" i="62"/>
  <c r="N40" i="55"/>
  <c r="O40" i="55" s="1"/>
  <c r="M41" i="55"/>
  <c r="S46" i="65"/>
  <c r="T44" i="65"/>
  <c r="S45" i="65"/>
  <c r="T42" i="65"/>
  <c r="T40" i="54"/>
  <c r="S41" i="54"/>
  <c r="H66" i="49"/>
  <c r="I65" i="49"/>
  <c r="T40" i="52"/>
  <c r="S41" i="52"/>
  <c r="S66" i="49"/>
  <c r="T65" i="49"/>
  <c r="S45" i="64"/>
  <c r="T42" i="64"/>
  <c r="S74" i="46"/>
  <c r="T73" i="46"/>
  <c r="S68" i="45"/>
  <c r="T67" i="45"/>
  <c r="N40" i="62"/>
  <c r="O40" i="62" s="1"/>
  <c r="M41" i="62"/>
  <c r="N40" i="52"/>
  <c r="O40" i="52" s="1"/>
  <c r="M41" i="52"/>
  <c r="T40" i="55"/>
  <c r="S41" i="55"/>
  <c r="O65" i="45"/>
  <c r="N40" i="54"/>
  <c r="O40" i="54" s="1"/>
  <c r="M41" i="54"/>
  <c r="S46" i="64"/>
  <c r="T44" i="64"/>
  <c r="M66" i="49"/>
  <c r="N65" i="49"/>
  <c r="H68" i="45"/>
  <c r="I67" i="45"/>
  <c r="M68" i="45"/>
  <c r="N67" i="45"/>
  <c r="T38" i="60"/>
  <c r="S39" i="60"/>
  <c r="N31" i="60"/>
  <c r="O31" i="60" s="1"/>
  <c r="M32" i="60"/>
  <c r="T31" i="56"/>
  <c r="S32" i="56"/>
  <c r="N31" i="53"/>
  <c r="O31" i="53" s="1"/>
  <c r="M32" i="53"/>
  <c r="T31" i="58"/>
  <c r="S32" i="58"/>
  <c r="T31" i="61"/>
  <c r="S32" i="61"/>
  <c r="T31" i="53"/>
  <c r="S32" i="53"/>
  <c r="N31" i="64"/>
  <c r="O31" i="64" s="1"/>
  <c r="M32" i="64"/>
  <c r="T31" i="59"/>
  <c r="S32" i="59"/>
  <c r="N31" i="63"/>
  <c r="O31" i="63" s="1"/>
  <c r="M32" i="63"/>
  <c r="N31" i="61"/>
  <c r="O31" i="61" s="1"/>
  <c r="M32" i="61"/>
  <c r="N31" i="59"/>
  <c r="O31" i="59" s="1"/>
  <c r="M32" i="59"/>
  <c r="N31" i="56"/>
  <c r="O31" i="56" s="1"/>
  <c r="M32" i="56"/>
  <c r="N31" i="58"/>
  <c r="O31" i="58" s="1"/>
  <c r="M32" i="58"/>
  <c r="S31" i="63"/>
  <c r="T29" i="63"/>
  <c r="O14" i="46"/>
  <c r="O18" i="46" s="1"/>
  <c r="I18" i="46"/>
  <c r="T18" i="46"/>
  <c r="O20" i="46"/>
  <c r="O21" i="46"/>
  <c r="Q30" i="46"/>
  <c r="R30" i="46" s="1"/>
  <c r="T30" i="46" s="1"/>
  <c r="K30" i="46"/>
  <c r="L30" i="46" s="1"/>
  <c r="N30" i="46" s="1"/>
  <c r="F30" i="46"/>
  <c r="G30" i="46" s="1"/>
  <c r="I30" i="46" s="1"/>
  <c r="Q24" i="48"/>
  <c r="R24" i="48" s="1"/>
  <c r="T24" i="48" s="1"/>
  <c r="K24" i="48"/>
  <c r="L24" i="48" s="1"/>
  <c r="N24" i="48" s="1"/>
  <c r="F24" i="48"/>
  <c r="G24" i="48" s="1"/>
  <c r="I24" i="48" s="1"/>
  <c r="Q20" i="49"/>
  <c r="R20" i="49" s="1"/>
  <c r="T20" i="49" s="1"/>
  <c r="K20" i="49"/>
  <c r="L20" i="49" s="1"/>
  <c r="N20" i="49" s="1"/>
  <c r="F20" i="49"/>
  <c r="G20" i="49" s="1"/>
  <c r="I20" i="49" s="1"/>
  <c r="Q24" i="45"/>
  <c r="R24" i="45" s="1"/>
  <c r="T24" i="45" s="1"/>
  <c r="K24" i="45"/>
  <c r="L24" i="45" s="1"/>
  <c r="N24" i="45" s="1"/>
  <c r="F24" i="45"/>
  <c r="G24" i="45" s="1"/>
  <c r="I24" i="45" s="1"/>
  <c r="Q24" i="44"/>
  <c r="R24" i="44" s="1"/>
  <c r="T24" i="44" s="1"/>
  <c r="K24" i="44"/>
  <c r="L24" i="44" s="1"/>
  <c r="N24" i="44" s="1"/>
  <c r="F24" i="44"/>
  <c r="G24" i="44" s="1"/>
  <c r="I24" i="44" s="1"/>
  <c r="O67" i="45" l="1"/>
  <c r="O76" i="48"/>
  <c r="N54" i="51"/>
  <c r="O54" i="51" s="1"/>
  <c r="M55" i="51"/>
  <c r="M78" i="48"/>
  <c r="N77" i="48"/>
  <c r="S54" i="51"/>
  <c r="T53" i="51"/>
  <c r="S77" i="48"/>
  <c r="T76" i="48"/>
  <c r="H78" i="48"/>
  <c r="I77" i="48"/>
  <c r="H69" i="45"/>
  <c r="I68" i="45"/>
  <c r="M42" i="62"/>
  <c r="N41" i="62"/>
  <c r="O41" i="62" s="1"/>
  <c r="O65" i="49"/>
  <c r="S47" i="64"/>
  <c r="T45" i="64"/>
  <c r="H67" i="49"/>
  <c r="I66" i="49"/>
  <c r="S48" i="65"/>
  <c r="T46" i="65"/>
  <c r="M67" i="49"/>
  <c r="N66" i="49"/>
  <c r="S42" i="55"/>
  <c r="T41" i="55"/>
  <c r="S42" i="54"/>
  <c r="T41" i="54"/>
  <c r="M42" i="55"/>
  <c r="N41" i="55"/>
  <c r="O41" i="55" s="1"/>
  <c r="S69" i="45"/>
  <c r="T68" i="45"/>
  <c r="S67" i="49"/>
  <c r="T66" i="49"/>
  <c r="M69" i="45"/>
  <c r="N68" i="45"/>
  <c r="S48" i="64"/>
  <c r="T46" i="64"/>
  <c r="M42" i="52"/>
  <c r="N41" i="52"/>
  <c r="O41" i="52" s="1"/>
  <c r="S42" i="52"/>
  <c r="T41" i="52"/>
  <c r="S42" i="62"/>
  <c r="T41" i="62"/>
  <c r="M42" i="54"/>
  <c r="N41" i="54"/>
  <c r="O41" i="54" s="1"/>
  <c r="S75" i="46"/>
  <c r="T74" i="46"/>
  <c r="S47" i="65"/>
  <c r="T45" i="65"/>
  <c r="S40" i="60"/>
  <c r="T39" i="60"/>
  <c r="N32" i="63"/>
  <c r="O32" i="63" s="1"/>
  <c r="M33" i="63"/>
  <c r="M33" i="56"/>
  <c r="N32" i="56"/>
  <c r="O32" i="56" s="1"/>
  <c r="S33" i="53"/>
  <c r="T32" i="53"/>
  <c r="M33" i="53"/>
  <c r="N32" i="53"/>
  <c r="O32" i="53" s="1"/>
  <c r="M33" i="59"/>
  <c r="N32" i="59"/>
  <c r="O32" i="59" s="1"/>
  <c r="S33" i="59"/>
  <c r="T32" i="59"/>
  <c r="S33" i="61"/>
  <c r="T32" i="61"/>
  <c r="S33" i="56"/>
  <c r="T32" i="56"/>
  <c r="T31" i="63"/>
  <c r="S32" i="63"/>
  <c r="M33" i="58"/>
  <c r="N32" i="58"/>
  <c r="O32" i="58" s="1"/>
  <c r="M33" i="61"/>
  <c r="N32" i="61"/>
  <c r="O32" i="61" s="1"/>
  <c r="M33" i="64"/>
  <c r="N32" i="64"/>
  <c r="O32" i="64" s="1"/>
  <c r="S33" i="58"/>
  <c r="T32" i="58"/>
  <c r="M33" i="60"/>
  <c r="N32" i="60"/>
  <c r="O32" i="60" s="1"/>
  <c r="O20" i="49"/>
  <c r="O24" i="44"/>
  <c r="O24" i="48"/>
  <c r="O24" i="45"/>
  <c r="O30" i="46"/>
  <c r="M57" i="51" l="1"/>
  <c r="N55" i="51"/>
  <c r="O55" i="51" s="1"/>
  <c r="T54" i="51"/>
  <c r="S55" i="51"/>
  <c r="I78" i="48"/>
  <c r="H80" i="48"/>
  <c r="N78" i="48"/>
  <c r="M80" i="48"/>
  <c r="O68" i="45"/>
  <c r="O66" i="49"/>
  <c r="T77" i="48"/>
  <c r="S78" i="48"/>
  <c r="O77" i="48"/>
  <c r="S76" i="46"/>
  <c r="T75" i="46"/>
  <c r="S44" i="52"/>
  <c r="T42" i="52"/>
  <c r="M70" i="45"/>
  <c r="N69" i="45"/>
  <c r="M44" i="55"/>
  <c r="N42" i="55"/>
  <c r="O42" i="55" s="1"/>
  <c r="M68" i="49"/>
  <c r="N67" i="49"/>
  <c r="S49" i="64"/>
  <c r="T47" i="64"/>
  <c r="T40" i="60"/>
  <c r="S41" i="60"/>
  <c r="M44" i="54"/>
  <c r="N42" i="54"/>
  <c r="O42" i="54" s="1"/>
  <c r="M44" i="52"/>
  <c r="N42" i="52"/>
  <c r="O42" i="52" s="1"/>
  <c r="S68" i="49"/>
  <c r="T67" i="49"/>
  <c r="S44" i="54"/>
  <c r="T42" i="54"/>
  <c r="S50" i="65"/>
  <c r="T48" i="65"/>
  <c r="M44" i="62"/>
  <c r="N42" i="62"/>
  <c r="O42" i="62" s="1"/>
  <c r="S49" i="65"/>
  <c r="T47" i="65"/>
  <c r="S44" i="62"/>
  <c r="T42" i="62"/>
  <c r="S50" i="64"/>
  <c r="T48" i="64"/>
  <c r="S70" i="45"/>
  <c r="T69" i="45"/>
  <c r="S44" i="55"/>
  <c r="T42" i="55"/>
  <c r="H68" i="49"/>
  <c r="I67" i="49"/>
  <c r="I69" i="45"/>
  <c r="H70" i="45"/>
  <c r="T32" i="63"/>
  <c r="S33" i="63"/>
  <c r="M34" i="63"/>
  <c r="N33" i="63"/>
  <c r="O33" i="63" s="1"/>
  <c r="S34" i="58"/>
  <c r="T33" i="58"/>
  <c r="M34" i="58"/>
  <c r="N33" i="58"/>
  <c r="O33" i="58" s="1"/>
  <c r="S34" i="61"/>
  <c r="T33" i="61"/>
  <c r="M34" i="53"/>
  <c r="N33" i="53"/>
  <c r="O33" i="53" s="1"/>
  <c r="S34" i="59"/>
  <c r="T33" i="59"/>
  <c r="M34" i="64"/>
  <c r="N33" i="64"/>
  <c r="O33" i="64" s="1"/>
  <c r="S34" i="53"/>
  <c r="T33" i="53"/>
  <c r="M34" i="60"/>
  <c r="N33" i="60"/>
  <c r="O33" i="60" s="1"/>
  <c r="M34" i="61"/>
  <c r="N33" i="61"/>
  <c r="O33" i="61" s="1"/>
  <c r="S34" i="56"/>
  <c r="T33" i="56"/>
  <c r="M34" i="59"/>
  <c r="N33" i="59"/>
  <c r="O33" i="59" s="1"/>
  <c r="M34" i="56"/>
  <c r="N33" i="56"/>
  <c r="O33" i="56" s="1"/>
  <c r="Q19" i="49"/>
  <c r="R19" i="49" s="1"/>
  <c r="T19" i="49" s="1"/>
  <c r="K19" i="49"/>
  <c r="L19" i="49" s="1"/>
  <c r="N19" i="49" s="1"/>
  <c r="F19" i="49"/>
  <c r="G19" i="49" s="1"/>
  <c r="I19" i="49" s="1"/>
  <c r="Q23" i="48"/>
  <c r="R23" i="48" s="1"/>
  <c r="T23" i="48" s="1"/>
  <c r="K23" i="48"/>
  <c r="L23" i="48" s="1"/>
  <c r="N23" i="48" s="1"/>
  <c r="F23" i="48"/>
  <c r="G23" i="48" s="1"/>
  <c r="I23" i="48" s="1"/>
  <c r="Q23" i="44"/>
  <c r="R23" i="44" s="1"/>
  <c r="T23" i="44" s="1"/>
  <c r="K23" i="44"/>
  <c r="L23" i="44" s="1"/>
  <c r="N23" i="44" s="1"/>
  <c r="F23" i="44"/>
  <c r="G23" i="44" s="1"/>
  <c r="I23" i="44" s="1"/>
  <c r="Q23" i="45"/>
  <c r="R23" i="45" s="1"/>
  <c r="T23" i="45" s="1"/>
  <c r="K23" i="45"/>
  <c r="L23" i="45" s="1"/>
  <c r="N23" i="45" s="1"/>
  <c r="F23" i="45"/>
  <c r="G23" i="45" s="1"/>
  <c r="I23" i="45" s="1"/>
  <c r="Q29" i="46"/>
  <c r="R29" i="46" s="1"/>
  <c r="T29" i="46" s="1"/>
  <c r="K29" i="46"/>
  <c r="L29" i="46" s="1"/>
  <c r="N29" i="46" s="1"/>
  <c r="F29" i="46"/>
  <c r="G29" i="46" s="1"/>
  <c r="I29" i="46" s="1"/>
  <c r="O78" i="48" l="1"/>
  <c r="S57" i="51"/>
  <c r="T55" i="51"/>
  <c r="M58" i="51"/>
  <c r="M61" i="51" s="1"/>
  <c r="N57" i="51"/>
  <c r="T78" i="48"/>
  <c r="S80" i="48"/>
  <c r="M81" i="48"/>
  <c r="M84" i="48" s="1"/>
  <c r="N80" i="48"/>
  <c r="H81" i="48"/>
  <c r="H84" i="48" s="1"/>
  <c r="I80" i="48"/>
  <c r="T50" i="64"/>
  <c r="S52" i="64"/>
  <c r="T50" i="65"/>
  <c r="S52" i="65"/>
  <c r="T49" i="64"/>
  <c r="S51" i="64"/>
  <c r="T49" i="65"/>
  <c r="S51" i="65"/>
  <c r="O69" i="45"/>
  <c r="S45" i="55"/>
  <c r="T44" i="55"/>
  <c r="S45" i="62"/>
  <c r="T44" i="62"/>
  <c r="M45" i="52"/>
  <c r="N44" i="52"/>
  <c r="O44" i="52" s="1"/>
  <c r="M71" i="45"/>
  <c r="N70" i="45"/>
  <c r="H71" i="45"/>
  <c r="I70" i="45"/>
  <c r="O67" i="49"/>
  <c r="S71" i="45"/>
  <c r="T70" i="45"/>
  <c r="S45" i="54"/>
  <c r="T44" i="54"/>
  <c r="M45" i="54"/>
  <c r="N44" i="54"/>
  <c r="O44" i="54" s="1"/>
  <c r="M69" i="49"/>
  <c r="N68" i="49"/>
  <c r="S45" i="52"/>
  <c r="T44" i="52"/>
  <c r="S42" i="60"/>
  <c r="T41" i="60"/>
  <c r="H69" i="49"/>
  <c r="I68" i="49"/>
  <c r="M45" i="62"/>
  <c r="N44" i="62"/>
  <c r="O44" i="62" s="1"/>
  <c r="S69" i="49"/>
  <c r="T68" i="49"/>
  <c r="M45" i="55"/>
  <c r="N44" i="55"/>
  <c r="O44" i="55" s="1"/>
  <c r="S77" i="46"/>
  <c r="T76" i="46"/>
  <c r="T34" i="56"/>
  <c r="S35" i="56"/>
  <c r="N34" i="56"/>
  <c r="O34" i="56" s="1"/>
  <c r="M35" i="56"/>
  <c r="N34" i="64"/>
  <c r="O34" i="64" s="1"/>
  <c r="M35" i="64"/>
  <c r="N34" i="60"/>
  <c r="O34" i="60" s="1"/>
  <c r="M35" i="60"/>
  <c r="T34" i="58"/>
  <c r="S35" i="58"/>
  <c r="N34" i="58"/>
  <c r="O34" i="58" s="1"/>
  <c r="M35" i="58"/>
  <c r="T34" i="53"/>
  <c r="S35" i="53"/>
  <c r="N34" i="53"/>
  <c r="O34" i="53" s="1"/>
  <c r="M35" i="53"/>
  <c r="S34" i="63"/>
  <c r="T33" i="63"/>
  <c r="M35" i="63"/>
  <c r="N34" i="63"/>
  <c r="O34" i="63" s="1"/>
  <c r="T34" i="61"/>
  <c r="S35" i="61"/>
  <c r="N34" i="61"/>
  <c r="O34" i="61" s="1"/>
  <c r="M35" i="61"/>
  <c r="N34" i="59"/>
  <c r="O34" i="59" s="1"/>
  <c r="M35" i="59"/>
  <c r="T34" i="59"/>
  <c r="S35" i="59"/>
  <c r="O19" i="49"/>
  <c r="O23" i="44"/>
  <c r="O29" i="46"/>
  <c r="O23" i="45"/>
  <c r="O23" i="48"/>
  <c r="Q18" i="49"/>
  <c r="R18" i="49" s="1"/>
  <c r="T18" i="49" s="1"/>
  <c r="K18" i="49"/>
  <c r="L18" i="49" s="1"/>
  <c r="N18" i="49" s="1"/>
  <c r="F18" i="49"/>
  <c r="G18" i="49" s="1"/>
  <c r="I18" i="49" s="1"/>
  <c r="Q22" i="48"/>
  <c r="R22" i="48" s="1"/>
  <c r="T22" i="48" s="1"/>
  <c r="K22" i="48"/>
  <c r="L22" i="48" s="1"/>
  <c r="N22" i="48" s="1"/>
  <c r="F22" i="48"/>
  <c r="G22" i="48" s="1"/>
  <c r="I22" i="48" s="1"/>
  <c r="Q22" i="44"/>
  <c r="R22" i="44" s="1"/>
  <c r="T22" i="44" s="1"/>
  <c r="K22" i="44"/>
  <c r="L22" i="44" s="1"/>
  <c r="N22" i="44" s="1"/>
  <c r="F22" i="44"/>
  <c r="G22" i="44" s="1"/>
  <c r="I22" i="44" s="1"/>
  <c r="Q28" i="46"/>
  <c r="R28" i="46" s="1"/>
  <c r="T28" i="46" s="1"/>
  <c r="K28" i="46"/>
  <c r="L28" i="46" s="1"/>
  <c r="N28" i="46" s="1"/>
  <c r="F28" i="46"/>
  <c r="G28" i="46" s="1"/>
  <c r="I28" i="46" s="1"/>
  <c r="Q22" i="45"/>
  <c r="R22" i="45" s="1"/>
  <c r="T22" i="45" s="1"/>
  <c r="K22" i="45"/>
  <c r="L22" i="45" s="1"/>
  <c r="N22" i="45" s="1"/>
  <c r="F22" i="45"/>
  <c r="G22" i="45" s="1"/>
  <c r="I22" i="45" s="1"/>
  <c r="N61" i="51" l="1"/>
  <c r="O61" i="51" s="1"/>
  <c r="M67" i="51"/>
  <c r="N67" i="51" s="1"/>
  <c r="O67" i="51" s="1"/>
  <c r="N84" i="48"/>
  <c r="M90" i="48"/>
  <c r="N90" i="48" s="1"/>
  <c r="I84" i="48"/>
  <c r="H90" i="48"/>
  <c r="I90" i="48" s="1"/>
  <c r="O57" i="51"/>
  <c r="O80" i="48"/>
  <c r="M60" i="51"/>
  <c r="M66" i="51" s="1"/>
  <c r="N66" i="51" s="1"/>
  <c r="O66" i="51" s="1"/>
  <c r="M59" i="51"/>
  <c r="N58" i="51"/>
  <c r="O58" i="51" s="1"/>
  <c r="S58" i="51"/>
  <c r="S61" i="51" s="1"/>
  <c r="T57" i="51"/>
  <c r="M83" i="48"/>
  <c r="M89" i="48" s="1"/>
  <c r="N89" i="48" s="1"/>
  <c r="O89" i="48" s="1"/>
  <c r="M82" i="48"/>
  <c r="N81" i="48"/>
  <c r="S81" i="48"/>
  <c r="S84" i="48" s="1"/>
  <c r="T80" i="48"/>
  <c r="H83" i="48"/>
  <c r="H89" i="48" s="1"/>
  <c r="I89" i="48" s="1"/>
  <c r="H82" i="48"/>
  <c r="I81" i="48"/>
  <c r="O68" i="49"/>
  <c r="S54" i="65"/>
  <c r="T52" i="65"/>
  <c r="S53" i="64"/>
  <c r="T51" i="64"/>
  <c r="I69" i="49"/>
  <c r="H70" i="49"/>
  <c r="N69" i="49"/>
  <c r="M70" i="49"/>
  <c r="S53" i="65"/>
  <c r="T51" i="65"/>
  <c r="S54" i="64"/>
  <c r="T52" i="64"/>
  <c r="T69" i="49"/>
  <c r="S70" i="49"/>
  <c r="O70" i="45"/>
  <c r="M46" i="52"/>
  <c r="N45" i="52"/>
  <c r="O45" i="52" s="1"/>
  <c r="S44" i="60"/>
  <c r="T42" i="60"/>
  <c r="M46" i="54"/>
  <c r="N45" i="54"/>
  <c r="O45" i="54" s="1"/>
  <c r="I71" i="45"/>
  <c r="H72" i="45"/>
  <c r="S46" i="62"/>
  <c r="T45" i="62"/>
  <c r="S78" i="46"/>
  <c r="T77" i="46"/>
  <c r="M46" i="62"/>
  <c r="N45" i="62"/>
  <c r="O45" i="62" s="1"/>
  <c r="S46" i="52"/>
  <c r="T45" i="52"/>
  <c r="S46" i="54"/>
  <c r="T45" i="54"/>
  <c r="M72" i="45"/>
  <c r="N71" i="45"/>
  <c r="S46" i="55"/>
  <c r="T45" i="55"/>
  <c r="M46" i="55"/>
  <c r="N45" i="55"/>
  <c r="O45" i="55" s="1"/>
  <c r="S72" i="45"/>
  <c r="T71" i="45"/>
  <c r="N35" i="61"/>
  <c r="O35" i="61" s="1"/>
  <c r="M36" i="61"/>
  <c r="T35" i="61"/>
  <c r="S36" i="61"/>
  <c r="M36" i="56"/>
  <c r="N35" i="56"/>
  <c r="O35" i="56" s="1"/>
  <c r="M36" i="60"/>
  <c r="N35" i="60"/>
  <c r="O35" i="60" s="1"/>
  <c r="S36" i="56"/>
  <c r="T35" i="56"/>
  <c r="M36" i="64"/>
  <c r="N35" i="64"/>
  <c r="O35" i="64" s="1"/>
  <c r="N35" i="59"/>
  <c r="O35" i="59" s="1"/>
  <c r="M36" i="59"/>
  <c r="T35" i="59"/>
  <c r="S36" i="59"/>
  <c r="N35" i="63"/>
  <c r="O35" i="63" s="1"/>
  <c r="M36" i="63"/>
  <c r="M36" i="58"/>
  <c r="N35" i="58"/>
  <c r="O35" i="58" s="1"/>
  <c r="S36" i="58"/>
  <c r="T35" i="58"/>
  <c r="M36" i="53"/>
  <c r="N35" i="53"/>
  <c r="O35" i="53" s="1"/>
  <c r="S36" i="53"/>
  <c r="T35" i="53"/>
  <c r="S35" i="63"/>
  <c r="T34" i="63"/>
  <c r="O22" i="44"/>
  <c r="O22" i="48"/>
  <c r="O18" i="49"/>
  <c r="O22" i="45"/>
  <c r="O28" i="46"/>
  <c r="Q17" i="49"/>
  <c r="R17" i="49" s="1"/>
  <c r="T17" i="49" s="1"/>
  <c r="K17" i="49"/>
  <c r="L17" i="49" s="1"/>
  <c r="N17" i="49" s="1"/>
  <c r="F17" i="49"/>
  <c r="G17" i="49" s="1"/>
  <c r="I17" i="49" s="1"/>
  <c r="Q21" i="48"/>
  <c r="R21" i="48" s="1"/>
  <c r="T21" i="48" s="1"/>
  <c r="K21" i="48"/>
  <c r="L21" i="48" s="1"/>
  <c r="N21" i="48" s="1"/>
  <c r="F21" i="48"/>
  <c r="G21" i="48" s="1"/>
  <c r="I21" i="48" s="1"/>
  <c r="Q21" i="44"/>
  <c r="R21" i="44" s="1"/>
  <c r="T21" i="44" s="1"/>
  <c r="K21" i="44"/>
  <c r="L21" i="44" s="1"/>
  <c r="N21" i="44" s="1"/>
  <c r="F21" i="44"/>
  <c r="G21" i="44" s="1"/>
  <c r="I21" i="44" s="1"/>
  <c r="Q21" i="45"/>
  <c r="R21" i="45" s="1"/>
  <c r="T21" i="45" s="1"/>
  <c r="K21" i="45"/>
  <c r="L21" i="45" s="1"/>
  <c r="N21" i="45" s="1"/>
  <c r="F21" i="45"/>
  <c r="G21" i="45" s="1"/>
  <c r="I21" i="45" s="1"/>
  <c r="Q27" i="46"/>
  <c r="R27" i="46" s="1"/>
  <c r="T27" i="46" s="1"/>
  <c r="K27" i="46"/>
  <c r="L27" i="46" s="1"/>
  <c r="N27" i="46" s="1"/>
  <c r="F27" i="46"/>
  <c r="G27" i="46" s="1"/>
  <c r="I27" i="46" s="1"/>
  <c r="T61" i="51" l="1"/>
  <c r="S67" i="51"/>
  <c r="T67" i="51" s="1"/>
  <c r="T84" i="48"/>
  <c r="S90" i="48"/>
  <c r="T90" i="48" s="1"/>
  <c r="O90" i="48"/>
  <c r="O84" i="48"/>
  <c r="M63" i="51"/>
  <c r="N63" i="51" s="1"/>
  <c r="O63" i="51" s="1"/>
  <c r="M64" i="51"/>
  <c r="N64" i="51" s="1"/>
  <c r="O64" i="51" s="1"/>
  <c r="H86" i="48"/>
  <c r="I86" i="48" s="1"/>
  <c r="H87" i="48"/>
  <c r="I87" i="48" s="1"/>
  <c r="M86" i="48"/>
  <c r="N86" i="48" s="1"/>
  <c r="M87" i="48"/>
  <c r="N87" i="48" s="1"/>
  <c r="N60" i="51"/>
  <c r="O60" i="51" s="1"/>
  <c r="M65" i="51"/>
  <c r="N65" i="51" s="1"/>
  <c r="O65" i="51" s="1"/>
  <c r="O69" i="49"/>
  <c r="I83" i="48"/>
  <c r="H88" i="48"/>
  <c r="I88" i="48" s="1"/>
  <c r="N83" i="48"/>
  <c r="O83" i="48" s="1"/>
  <c r="M88" i="48"/>
  <c r="N88" i="48" s="1"/>
  <c r="S60" i="51"/>
  <c r="S66" i="51" s="1"/>
  <c r="T66" i="51" s="1"/>
  <c r="S59" i="51"/>
  <c r="T58" i="51"/>
  <c r="M62" i="51"/>
  <c r="N62" i="51" s="1"/>
  <c r="O62" i="51" s="1"/>
  <c r="N59" i="51"/>
  <c r="O59" i="51" s="1"/>
  <c r="S83" i="48"/>
  <c r="S89" i="48" s="1"/>
  <c r="T89" i="48" s="1"/>
  <c r="S82" i="48"/>
  <c r="T81" i="48"/>
  <c r="H85" i="48"/>
  <c r="I85" i="48" s="1"/>
  <c r="I82" i="48"/>
  <c r="I91" i="48" s="1"/>
  <c r="O81" i="48"/>
  <c r="M85" i="48"/>
  <c r="N85" i="48" s="1"/>
  <c r="N82" i="48"/>
  <c r="T53" i="65"/>
  <c r="S55" i="65"/>
  <c r="T54" i="65"/>
  <c r="S57" i="65"/>
  <c r="S61" i="65" s="1"/>
  <c r="T61" i="65" s="1"/>
  <c r="T54" i="64"/>
  <c r="S57" i="64"/>
  <c r="T53" i="64"/>
  <c r="S55" i="64"/>
  <c r="H71" i="49"/>
  <c r="I70" i="49"/>
  <c r="T78" i="46"/>
  <c r="S79" i="46"/>
  <c r="S71" i="49"/>
  <c r="T70" i="49"/>
  <c r="M71" i="49"/>
  <c r="N70" i="49"/>
  <c r="M47" i="55"/>
  <c r="N46" i="55"/>
  <c r="O46" i="55" s="1"/>
  <c r="S47" i="54"/>
  <c r="T46" i="54"/>
  <c r="M47" i="54"/>
  <c r="N46" i="54"/>
  <c r="O46" i="54" s="1"/>
  <c r="S47" i="55"/>
  <c r="T46" i="55"/>
  <c r="S47" i="52"/>
  <c r="T46" i="52"/>
  <c r="S47" i="62"/>
  <c r="T46" i="62"/>
  <c r="S45" i="60"/>
  <c r="T44" i="60"/>
  <c r="S73" i="45"/>
  <c r="T72" i="45"/>
  <c r="H73" i="45"/>
  <c r="I72" i="45"/>
  <c r="M73" i="45"/>
  <c r="N72" i="45"/>
  <c r="M47" i="62"/>
  <c r="N46" i="62"/>
  <c r="O46" i="62" s="1"/>
  <c r="O71" i="45"/>
  <c r="M47" i="52"/>
  <c r="N46" i="52"/>
  <c r="O46" i="52" s="1"/>
  <c r="N36" i="63"/>
  <c r="O36" i="63" s="1"/>
  <c r="M37" i="63"/>
  <c r="N36" i="53"/>
  <c r="O36" i="53" s="1"/>
  <c r="M37" i="53"/>
  <c r="M37" i="64"/>
  <c r="N36" i="64"/>
  <c r="O36" i="64" s="1"/>
  <c r="M37" i="56"/>
  <c r="N36" i="56"/>
  <c r="O36" i="56" s="1"/>
  <c r="S37" i="61"/>
  <c r="T36" i="61"/>
  <c r="T36" i="58"/>
  <c r="S37" i="58"/>
  <c r="S37" i="56"/>
  <c r="T36" i="56"/>
  <c r="M37" i="61"/>
  <c r="N36" i="61"/>
  <c r="O36" i="61" s="1"/>
  <c r="T36" i="53"/>
  <c r="S37" i="53"/>
  <c r="N36" i="58"/>
  <c r="O36" i="58" s="1"/>
  <c r="M37" i="58"/>
  <c r="M37" i="60"/>
  <c r="N36" i="60"/>
  <c r="O36" i="60" s="1"/>
  <c r="S37" i="59"/>
  <c r="T36" i="59"/>
  <c r="M37" i="59"/>
  <c r="N36" i="59"/>
  <c r="O36" i="59" s="1"/>
  <c r="T35" i="63"/>
  <c r="S36" i="63"/>
  <c r="O21" i="45"/>
  <c r="O27" i="46"/>
  <c r="O21" i="48"/>
  <c r="O21" i="44"/>
  <c r="O17" i="49"/>
  <c r="O87" i="48" l="1"/>
  <c r="O86" i="48"/>
  <c r="S63" i="51"/>
  <c r="T63" i="51" s="1"/>
  <c r="S64" i="51"/>
  <c r="T64" i="51" s="1"/>
  <c r="S86" i="48"/>
  <c r="T86" i="48" s="1"/>
  <c r="S87" i="48"/>
  <c r="T87" i="48" s="1"/>
  <c r="N91" i="48"/>
  <c r="O68" i="51"/>
  <c r="N68" i="51"/>
  <c r="T60" i="51"/>
  <c r="S65" i="51"/>
  <c r="T65" i="51" s="1"/>
  <c r="O88" i="48"/>
  <c r="T83" i="48"/>
  <c r="S88" i="48"/>
  <c r="T88" i="48" s="1"/>
  <c r="O70" i="49"/>
  <c r="S61" i="64"/>
  <c r="T61" i="64" s="1"/>
  <c r="S62" i="64"/>
  <c r="T62" i="64" s="1"/>
  <c r="O82" i="48"/>
  <c r="S62" i="51"/>
  <c r="T62" i="51" s="1"/>
  <c r="T59" i="51"/>
  <c r="O85" i="48"/>
  <c r="S85" i="48"/>
  <c r="T85" i="48" s="1"/>
  <c r="T82" i="48"/>
  <c r="T91" i="48" s="1"/>
  <c r="S60" i="65"/>
  <c r="S59" i="65"/>
  <c r="S66" i="65" s="1"/>
  <c r="T66" i="65" s="1"/>
  <c r="T57" i="65"/>
  <c r="S58" i="65"/>
  <c r="T55" i="65"/>
  <c r="S58" i="64"/>
  <c r="T55" i="64"/>
  <c r="S60" i="64"/>
  <c r="S59" i="64"/>
  <c r="S67" i="64" s="1"/>
  <c r="T67" i="64" s="1"/>
  <c r="T57" i="64"/>
  <c r="T73" i="45"/>
  <c r="S74" i="45"/>
  <c r="S72" i="49"/>
  <c r="T71" i="49"/>
  <c r="S80" i="46"/>
  <c r="T79" i="46"/>
  <c r="N73" i="45"/>
  <c r="M74" i="45"/>
  <c r="I73" i="45"/>
  <c r="H74" i="45"/>
  <c r="M72" i="49"/>
  <c r="N71" i="49"/>
  <c r="H72" i="49"/>
  <c r="I71" i="49"/>
  <c r="N47" i="52"/>
  <c r="O47" i="52" s="1"/>
  <c r="M48" i="52"/>
  <c r="S48" i="62"/>
  <c r="T47" i="62"/>
  <c r="M48" i="54"/>
  <c r="N47" i="54"/>
  <c r="O47" i="54" s="1"/>
  <c r="M48" i="62"/>
  <c r="N47" i="62"/>
  <c r="O47" i="62" s="1"/>
  <c r="S48" i="52"/>
  <c r="T47" i="52"/>
  <c r="S48" i="54"/>
  <c r="T47" i="54"/>
  <c r="O72" i="45"/>
  <c r="S46" i="60"/>
  <c r="T45" i="60"/>
  <c r="S48" i="55"/>
  <c r="T47" i="55"/>
  <c r="M48" i="55"/>
  <c r="N47" i="55"/>
  <c r="O47" i="55" s="1"/>
  <c r="M38" i="64"/>
  <c r="N37" i="64"/>
  <c r="O37" i="64" s="1"/>
  <c r="M38" i="53"/>
  <c r="N37" i="53"/>
  <c r="O37" i="53" s="1"/>
  <c r="T36" i="63"/>
  <c r="S37" i="63"/>
  <c r="M38" i="60"/>
  <c r="N37" i="60"/>
  <c r="O37" i="60" s="1"/>
  <c r="M38" i="61"/>
  <c r="N37" i="61"/>
  <c r="O37" i="61" s="1"/>
  <c r="S38" i="61"/>
  <c r="T37" i="61"/>
  <c r="S38" i="58"/>
  <c r="T37" i="58"/>
  <c r="T37" i="59"/>
  <c r="S38" i="59"/>
  <c r="M38" i="58"/>
  <c r="N37" i="58"/>
  <c r="O37" i="58" s="1"/>
  <c r="M38" i="63"/>
  <c r="N37" i="63"/>
  <c r="O37" i="63" s="1"/>
  <c r="S38" i="53"/>
  <c r="T37" i="53"/>
  <c r="N37" i="59"/>
  <c r="O37" i="59" s="1"/>
  <c r="M38" i="59"/>
  <c r="S38" i="56"/>
  <c r="T37" i="56"/>
  <c r="M38" i="56"/>
  <c r="N37" i="56"/>
  <c r="O37" i="56" s="1"/>
  <c r="F16" i="49"/>
  <c r="G16" i="49" s="1"/>
  <c r="I16" i="49" s="1"/>
  <c r="K16" i="49"/>
  <c r="L16" i="49" s="1"/>
  <c r="N16" i="49" s="1"/>
  <c r="Q16" i="49"/>
  <c r="R16" i="49" s="1"/>
  <c r="T16" i="49" s="1"/>
  <c r="F20" i="48"/>
  <c r="G20" i="48" s="1"/>
  <c r="I20" i="48" s="1"/>
  <c r="K20" i="48"/>
  <c r="L20" i="48" s="1"/>
  <c r="N20" i="48" s="1"/>
  <c r="Q20" i="48"/>
  <c r="R20" i="48" s="1"/>
  <c r="T20" i="48" s="1"/>
  <c r="F20" i="44"/>
  <c r="G20" i="44" s="1"/>
  <c r="I20" i="44" s="1"/>
  <c r="K20" i="44"/>
  <c r="L20" i="44" s="1"/>
  <c r="N20" i="44" s="1"/>
  <c r="Q20" i="44"/>
  <c r="R20" i="44" s="1"/>
  <c r="T20" i="44" s="1"/>
  <c r="T60" i="65" l="1"/>
  <c r="S67" i="65"/>
  <c r="T67" i="65" s="1"/>
  <c r="T60" i="64"/>
  <c r="S68" i="64"/>
  <c r="T68" i="64" s="1"/>
  <c r="S63" i="65"/>
  <c r="T63" i="65" s="1"/>
  <c r="S64" i="65"/>
  <c r="T64" i="65" s="1"/>
  <c r="S64" i="64"/>
  <c r="T64" i="64" s="1"/>
  <c r="S65" i="64"/>
  <c r="T65" i="64" s="1"/>
  <c r="O91" i="48"/>
  <c r="T68" i="51"/>
  <c r="T59" i="65"/>
  <c r="S65" i="65"/>
  <c r="T65" i="65" s="1"/>
  <c r="T59" i="64"/>
  <c r="S66" i="64"/>
  <c r="T66" i="64" s="1"/>
  <c r="O71" i="49"/>
  <c r="O73" i="45"/>
  <c r="S62" i="65"/>
  <c r="T62" i="65" s="1"/>
  <c r="T58" i="65"/>
  <c r="S63" i="64"/>
  <c r="T63" i="64" s="1"/>
  <c r="T58" i="64"/>
  <c r="M73" i="49"/>
  <c r="N72" i="49"/>
  <c r="S81" i="46"/>
  <c r="T80" i="46"/>
  <c r="I74" i="45"/>
  <c r="H75" i="45"/>
  <c r="S73" i="49"/>
  <c r="T72" i="49"/>
  <c r="M75" i="45"/>
  <c r="N74" i="45"/>
  <c r="S75" i="45"/>
  <c r="T74" i="45"/>
  <c r="H73" i="49"/>
  <c r="I72" i="49"/>
  <c r="S49" i="55"/>
  <c r="T48" i="55"/>
  <c r="S49" i="54"/>
  <c r="T48" i="54"/>
  <c r="M49" i="54"/>
  <c r="N48" i="54"/>
  <c r="O48" i="54" s="1"/>
  <c r="S47" i="60"/>
  <c r="T46" i="60"/>
  <c r="S49" i="52"/>
  <c r="T48" i="52"/>
  <c r="S49" i="62"/>
  <c r="T48" i="62"/>
  <c r="N48" i="52"/>
  <c r="O48" i="52" s="1"/>
  <c r="M49" i="52"/>
  <c r="M49" i="55"/>
  <c r="N48" i="55"/>
  <c r="O48" i="55" s="1"/>
  <c r="M49" i="62"/>
  <c r="N48" i="62"/>
  <c r="O48" i="62" s="1"/>
  <c r="N38" i="64"/>
  <c r="O38" i="64" s="1"/>
  <c r="M39" i="64"/>
  <c r="T38" i="61"/>
  <c r="S39" i="61"/>
  <c r="N38" i="61"/>
  <c r="O38" i="61" s="1"/>
  <c r="M39" i="61"/>
  <c r="N38" i="56"/>
  <c r="O38" i="56" s="1"/>
  <c r="M39" i="56"/>
  <c r="T38" i="56"/>
  <c r="S39" i="56"/>
  <c r="T38" i="53"/>
  <c r="S39" i="53"/>
  <c r="N38" i="53"/>
  <c r="O38" i="53" s="1"/>
  <c r="M39" i="53"/>
  <c r="N38" i="58"/>
  <c r="O38" i="58" s="1"/>
  <c r="M39" i="58"/>
  <c r="T38" i="58"/>
  <c r="S39" i="58"/>
  <c r="N38" i="59"/>
  <c r="O38" i="59" s="1"/>
  <c r="M39" i="59"/>
  <c r="T38" i="59"/>
  <c r="S39" i="59"/>
  <c r="N38" i="60"/>
  <c r="O38" i="60" s="1"/>
  <c r="M39" i="60"/>
  <c r="N38" i="63"/>
  <c r="O38" i="63" s="1"/>
  <c r="M39" i="63"/>
  <c r="S38" i="63"/>
  <c r="T37" i="63"/>
  <c r="O20" i="44"/>
  <c r="O16" i="49"/>
  <c r="O20" i="48"/>
  <c r="T68" i="65" l="1"/>
  <c r="T69" i="64"/>
  <c r="O74" i="45"/>
  <c r="O72" i="49"/>
  <c r="H76" i="45"/>
  <c r="I75" i="45"/>
  <c r="S76" i="45"/>
  <c r="T75" i="45"/>
  <c r="M76" i="45"/>
  <c r="N75" i="45"/>
  <c r="O75" i="45" s="1"/>
  <c r="S82" i="46"/>
  <c r="T81" i="46"/>
  <c r="H74" i="49"/>
  <c r="I73" i="49"/>
  <c r="S74" i="49"/>
  <c r="T73" i="49"/>
  <c r="M74" i="49"/>
  <c r="N73" i="49"/>
  <c r="M50" i="62"/>
  <c r="N49" i="62"/>
  <c r="O49" i="62" s="1"/>
  <c r="S50" i="62"/>
  <c r="T49" i="62"/>
  <c r="M50" i="54"/>
  <c r="N49" i="54"/>
  <c r="O49" i="54" s="1"/>
  <c r="M50" i="55"/>
  <c r="N49" i="55"/>
  <c r="O49" i="55" s="1"/>
  <c r="S50" i="52"/>
  <c r="T49" i="52"/>
  <c r="S50" i="54"/>
  <c r="T49" i="54"/>
  <c r="M50" i="52"/>
  <c r="N49" i="52"/>
  <c r="O49" i="52" s="1"/>
  <c r="T47" i="60"/>
  <c r="S48" i="60"/>
  <c r="S50" i="55"/>
  <c r="T49" i="55"/>
  <c r="M40" i="64"/>
  <c r="N39" i="64"/>
  <c r="O39" i="64" s="1"/>
  <c r="N39" i="63"/>
  <c r="O39" i="63" s="1"/>
  <c r="M40" i="63"/>
  <c r="S40" i="61"/>
  <c r="T39" i="61"/>
  <c r="M40" i="61"/>
  <c r="N39" i="61"/>
  <c r="O39" i="61" s="1"/>
  <c r="T39" i="59"/>
  <c r="S40" i="59"/>
  <c r="N39" i="59"/>
  <c r="O39" i="59" s="1"/>
  <c r="M40" i="59"/>
  <c r="T39" i="58"/>
  <c r="S40" i="58"/>
  <c r="N39" i="58"/>
  <c r="O39" i="58" s="1"/>
  <c r="M40" i="58"/>
  <c r="S40" i="56"/>
  <c r="T39" i="56"/>
  <c r="M40" i="56"/>
  <c r="N39" i="56"/>
  <c r="O39" i="56" s="1"/>
  <c r="M40" i="53"/>
  <c r="N39" i="53"/>
  <c r="O39" i="53" s="1"/>
  <c r="S40" i="53"/>
  <c r="T39" i="53"/>
  <c r="M40" i="60"/>
  <c r="N39" i="60"/>
  <c r="O39" i="60" s="1"/>
  <c r="T38" i="63"/>
  <c r="S39" i="63"/>
  <c r="Q20" i="45"/>
  <c r="R20" i="45" s="1"/>
  <c r="T20" i="45" s="1"/>
  <c r="K20" i="45"/>
  <c r="L20" i="45" s="1"/>
  <c r="N20" i="45" s="1"/>
  <c r="F20" i="45"/>
  <c r="G20" i="45" s="1"/>
  <c r="I20" i="45" s="1"/>
  <c r="Q26" i="46"/>
  <c r="R26" i="46" s="1"/>
  <c r="T26" i="46" s="1"/>
  <c r="K26" i="46"/>
  <c r="L26" i="46" s="1"/>
  <c r="N26" i="46" s="1"/>
  <c r="F26" i="46"/>
  <c r="G26" i="46" s="1"/>
  <c r="I26" i="46" s="1"/>
  <c r="T82" i="46" l="1"/>
  <c r="S83" i="46"/>
  <c r="T74" i="49"/>
  <c r="S76" i="49"/>
  <c r="N74" i="49"/>
  <c r="M76" i="49"/>
  <c r="I74" i="49"/>
  <c r="O74" i="49" s="1"/>
  <c r="H76" i="49"/>
  <c r="O73" i="49"/>
  <c r="T50" i="52"/>
  <c r="S51" i="52"/>
  <c r="T50" i="62"/>
  <c r="S51" i="62"/>
  <c r="M77" i="45"/>
  <c r="N76" i="45"/>
  <c r="N50" i="52"/>
  <c r="O50" i="52" s="1"/>
  <c r="M51" i="52"/>
  <c r="N50" i="55"/>
  <c r="O50" i="55" s="1"/>
  <c r="M51" i="55"/>
  <c r="N50" i="62"/>
  <c r="O50" i="62" s="1"/>
  <c r="M51" i="62"/>
  <c r="S77" i="45"/>
  <c r="T76" i="45"/>
  <c r="T50" i="55"/>
  <c r="S51" i="55"/>
  <c r="T50" i="54"/>
  <c r="S51" i="54"/>
  <c r="N50" i="54"/>
  <c r="O50" i="54" s="1"/>
  <c r="M51" i="54"/>
  <c r="H77" i="45"/>
  <c r="I76" i="45"/>
  <c r="N40" i="59"/>
  <c r="O40" i="59" s="1"/>
  <c r="M41" i="59"/>
  <c r="T40" i="53"/>
  <c r="S41" i="53"/>
  <c r="T40" i="61"/>
  <c r="S41" i="61"/>
  <c r="N40" i="58"/>
  <c r="O40" i="58" s="1"/>
  <c r="M41" i="58"/>
  <c r="T40" i="59"/>
  <c r="S41" i="59"/>
  <c r="N40" i="63"/>
  <c r="O40" i="63" s="1"/>
  <c r="M41" i="63"/>
  <c r="S49" i="60"/>
  <c r="T48" i="60"/>
  <c r="N40" i="53"/>
  <c r="O40" i="53" s="1"/>
  <c r="M41" i="53"/>
  <c r="T40" i="56"/>
  <c r="S41" i="56"/>
  <c r="T40" i="58"/>
  <c r="S41" i="58"/>
  <c r="N40" i="60"/>
  <c r="O40" i="60" s="1"/>
  <c r="M41" i="60"/>
  <c r="N40" i="56"/>
  <c r="O40" i="56" s="1"/>
  <c r="M41" i="56"/>
  <c r="N40" i="61"/>
  <c r="O40" i="61" s="1"/>
  <c r="M41" i="61"/>
  <c r="N40" i="64"/>
  <c r="O40" i="64" s="1"/>
  <c r="M41" i="64"/>
  <c r="T39" i="63"/>
  <c r="S40" i="63"/>
  <c r="O20" i="45"/>
  <c r="O26" i="46"/>
  <c r="Q15" i="49"/>
  <c r="R15" i="49" s="1"/>
  <c r="T15" i="49" s="1"/>
  <c r="K15" i="49"/>
  <c r="L15" i="49" s="1"/>
  <c r="N15" i="49" s="1"/>
  <c r="F15" i="49"/>
  <c r="G15" i="49" s="1"/>
  <c r="I15" i="49" s="1"/>
  <c r="Q19" i="48"/>
  <c r="R19" i="48" s="1"/>
  <c r="T19" i="48" s="1"/>
  <c r="K19" i="48"/>
  <c r="L19" i="48" s="1"/>
  <c r="N19" i="48" s="1"/>
  <c r="F19" i="48"/>
  <c r="G19" i="48" s="1"/>
  <c r="I19" i="48" s="1"/>
  <c r="Q19" i="44"/>
  <c r="R19" i="44" s="1"/>
  <c r="T19" i="44" s="1"/>
  <c r="K19" i="44"/>
  <c r="L19" i="44" s="1"/>
  <c r="N19" i="44" s="1"/>
  <c r="F19" i="44"/>
  <c r="G19" i="44" s="1"/>
  <c r="I19" i="44" s="1"/>
  <c r="Q19" i="45"/>
  <c r="R19" i="45" s="1"/>
  <c r="T19" i="45" s="1"/>
  <c r="K19" i="45"/>
  <c r="L19" i="45" s="1"/>
  <c r="N19" i="45" s="1"/>
  <c r="F19" i="45"/>
  <c r="G19" i="45" s="1"/>
  <c r="I19" i="45" s="1"/>
  <c r="I77" i="45" l="1"/>
  <c r="H78" i="45"/>
  <c r="T77" i="45"/>
  <c r="S78" i="45"/>
  <c r="N77" i="45"/>
  <c r="M78" i="45"/>
  <c r="S85" i="46"/>
  <c r="T83" i="46"/>
  <c r="M77" i="49"/>
  <c r="M80" i="49" s="1"/>
  <c r="N76" i="49"/>
  <c r="H77" i="49"/>
  <c r="H80" i="49" s="1"/>
  <c r="I76" i="49"/>
  <c r="S77" i="49"/>
  <c r="S80" i="49" s="1"/>
  <c r="T76" i="49"/>
  <c r="O76" i="45"/>
  <c r="M52" i="62"/>
  <c r="N51" i="62"/>
  <c r="O51" i="62" s="1"/>
  <c r="O77" i="45"/>
  <c r="S52" i="55"/>
  <c r="T51" i="55"/>
  <c r="M52" i="55"/>
  <c r="N51" i="55"/>
  <c r="O51" i="55" s="1"/>
  <c r="S52" i="62"/>
  <c r="T51" i="62"/>
  <c r="S52" i="54"/>
  <c r="T51" i="54"/>
  <c r="M52" i="54"/>
  <c r="N51" i="54"/>
  <c r="O51" i="54" s="1"/>
  <c r="M52" i="52"/>
  <c r="N51" i="52"/>
  <c r="O51" i="52" s="1"/>
  <c r="T51" i="52"/>
  <c r="S52" i="52"/>
  <c r="T40" i="63"/>
  <c r="S41" i="63"/>
  <c r="M42" i="56"/>
  <c r="N41" i="56"/>
  <c r="O41" i="56" s="1"/>
  <c r="S42" i="56"/>
  <c r="T41" i="56"/>
  <c r="M42" i="63"/>
  <c r="N41" i="63"/>
  <c r="O41" i="63" s="1"/>
  <c r="S42" i="61"/>
  <c r="T41" i="61"/>
  <c r="M42" i="64"/>
  <c r="N41" i="64"/>
  <c r="O41" i="64" s="1"/>
  <c r="M42" i="60"/>
  <c r="N41" i="60"/>
  <c r="O41" i="60" s="1"/>
  <c r="M42" i="53"/>
  <c r="N41" i="53"/>
  <c r="O41" i="53" s="1"/>
  <c r="T41" i="59"/>
  <c r="S42" i="59"/>
  <c r="S42" i="53"/>
  <c r="T41" i="53"/>
  <c r="M42" i="61"/>
  <c r="N41" i="61"/>
  <c r="O41" i="61" s="1"/>
  <c r="S42" i="58"/>
  <c r="T41" i="58"/>
  <c r="M42" i="58"/>
  <c r="N41" i="58"/>
  <c r="O41" i="58" s="1"/>
  <c r="M42" i="59"/>
  <c r="N41" i="59"/>
  <c r="O41" i="59" s="1"/>
  <c r="S50" i="60"/>
  <c r="T49" i="60"/>
  <c r="O19" i="48"/>
  <c r="O19" i="44"/>
  <c r="O15" i="49"/>
  <c r="O19" i="45"/>
  <c r="Q25" i="46"/>
  <c r="R25" i="46" s="1"/>
  <c r="T25" i="46" s="1"/>
  <c r="K25" i="46"/>
  <c r="L25" i="46" s="1"/>
  <c r="N25" i="46" s="1"/>
  <c r="F25" i="46"/>
  <c r="G25" i="46" s="1"/>
  <c r="I25" i="46" s="1"/>
  <c r="T80" i="49" l="1"/>
  <c r="S86" i="49"/>
  <c r="T86" i="49" s="1"/>
  <c r="N80" i="49"/>
  <c r="O80" i="49" s="1"/>
  <c r="M86" i="49"/>
  <c r="N86" i="49" s="1"/>
  <c r="I80" i="49"/>
  <c r="H86" i="49"/>
  <c r="I86" i="49" s="1"/>
  <c r="S80" i="45"/>
  <c r="T78" i="45"/>
  <c r="M80" i="45"/>
  <c r="N78" i="45"/>
  <c r="H80" i="45"/>
  <c r="I78" i="45"/>
  <c r="S86" i="46"/>
  <c r="T85" i="46"/>
  <c r="H79" i="49"/>
  <c r="H85" i="49" s="1"/>
  <c r="I85" i="49" s="1"/>
  <c r="H78" i="49"/>
  <c r="I77" i="49"/>
  <c r="O76" i="49"/>
  <c r="S79" i="49"/>
  <c r="S85" i="49" s="1"/>
  <c r="T85" i="49" s="1"/>
  <c r="S78" i="49"/>
  <c r="T77" i="49"/>
  <c r="M79" i="49"/>
  <c r="M85" i="49" s="1"/>
  <c r="N85" i="49" s="1"/>
  <c r="O85" i="49" s="1"/>
  <c r="M78" i="49"/>
  <c r="N77" i="49"/>
  <c r="M53" i="54"/>
  <c r="N52" i="54"/>
  <c r="O52" i="54" s="1"/>
  <c r="T52" i="52"/>
  <c r="S53" i="52"/>
  <c r="M53" i="55"/>
  <c r="N52" i="55"/>
  <c r="O52" i="55" s="1"/>
  <c r="S53" i="54"/>
  <c r="T52" i="54"/>
  <c r="S53" i="55"/>
  <c r="T52" i="55"/>
  <c r="M53" i="52"/>
  <c r="N52" i="52"/>
  <c r="O52" i="52" s="1"/>
  <c r="S53" i="62"/>
  <c r="T52" i="62"/>
  <c r="T50" i="60"/>
  <c r="S51" i="60"/>
  <c r="M53" i="62"/>
  <c r="N52" i="62"/>
  <c r="O52" i="62" s="1"/>
  <c r="T42" i="59"/>
  <c r="S44" i="59"/>
  <c r="M44" i="64"/>
  <c r="N42" i="64"/>
  <c r="O42" i="64" s="1"/>
  <c r="S44" i="56"/>
  <c r="T42" i="56"/>
  <c r="S44" i="58"/>
  <c r="T42" i="58"/>
  <c r="M44" i="59"/>
  <c r="N42" i="59"/>
  <c r="O42" i="59" s="1"/>
  <c r="M44" i="61"/>
  <c r="N42" i="61"/>
  <c r="O42" i="61" s="1"/>
  <c r="N42" i="53"/>
  <c r="O42" i="53" s="1"/>
  <c r="M44" i="53"/>
  <c r="S44" i="61"/>
  <c r="T42" i="61"/>
  <c r="M44" i="56"/>
  <c r="N42" i="56"/>
  <c r="O42" i="56" s="1"/>
  <c r="S42" i="63"/>
  <c r="T41" i="63"/>
  <c r="M44" i="58"/>
  <c r="N42" i="58"/>
  <c r="O42" i="58" s="1"/>
  <c r="S44" i="53"/>
  <c r="T42" i="53"/>
  <c r="M44" i="60"/>
  <c r="N42" i="60"/>
  <c r="O42" i="60" s="1"/>
  <c r="M44" i="63"/>
  <c r="N42" i="63"/>
  <c r="O42" i="63" s="1"/>
  <c r="O25" i="46"/>
  <c r="Q14" i="49"/>
  <c r="R14" i="49" s="1"/>
  <c r="T14" i="49" s="1"/>
  <c r="K14" i="49"/>
  <c r="L14" i="49" s="1"/>
  <c r="N14" i="49" s="1"/>
  <c r="F14" i="49"/>
  <c r="G14" i="49" s="1"/>
  <c r="I14" i="49" s="1"/>
  <c r="O86" i="49" l="1"/>
  <c r="S82" i="49"/>
  <c r="T82" i="49" s="1"/>
  <c r="S83" i="49"/>
  <c r="T83" i="49" s="1"/>
  <c r="H82" i="49"/>
  <c r="I82" i="49" s="1"/>
  <c r="H83" i="49"/>
  <c r="I83" i="49" s="1"/>
  <c r="M82" i="49"/>
  <c r="N82" i="49" s="1"/>
  <c r="M83" i="49"/>
  <c r="N83" i="49" s="1"/>
  <c r="O83" i="49" s="1"/>
  <c r="N79" i="49"/>
  <c r="M84" i="49"/>
  <c r="N84" i="49" s="1"/>
  <c r="T79" i="49"/>
  <c r="S84" i="49"/>
  <c r="T84" i="49" s="1"/>
  <c r="I79" i="49"/>
  <c r="O79" i="49" s="1"/>
  <c r="H84" i="49"/>
  <c r="I84" i="49" s="1"/>
  <c r="O78" i="45"/>
  <c r="M81" i="45"/>
  <c r="N80" i="45"/>
  <c r="H81" i="45"/>
  <c r="I80" i="45"/>
  <c r="S81" i="45"/>
  <c r="T80" i="45"/>
  <c r="S88" i="46"/>
  <c r="S91" i="46" s="1"/>
  <c r="S87" i="46"/>
  <c r="T86" i="46"/>
  <c r="M81" i="49"/>
  <c r="N81" i="49" s="1"/>
  <c r="N78" i="49"/>
  <c r="O77" i="49"/>
  <c r="S81" i="49"/>
  <c r="T81" i="49" s="1"/>
  <c r="T78" i="49"/>
  <c r="H81" i="49"/>
  <c r="I81" i="49" s="1"/>
  <c r="I78" i="49"/>
  <c r="M54" i="62"/>
  <c r="N53" i="62"/>
  <c r="O53" i="62" s="1"/>
  <c r="M54" i="52"/>
  <c r="N53" i="52"/>
  <c r="O53" i="52" s="1"/>
  <c r="M54" i="55"/>
  <c r="N53" i="55"/>
  <c r="O53" i="55" s="1"/>
  <c r="T51" i="60"/>
  <c r="S52" i="60"/>
  <c r="S54" i="52"/>
  <c r="T53" i="52"/>
  <c r="S54" i="55"/>
  <c r="T53" i="55"/>
  <c r="S54" i="62"/>
  <c r="T53" i="62"/>
  <c r="S54" i="54"/>
  <c r="T53" i="54"/>
  <c r="M54" i="54"/>
  <c r="N53" i="54"/>
  <c r="O53" i="54" s="1"/>
  <c r="M45" i="56"/>
  <c r="N44" i="56"/>
  <c r="O44" i="56" s="1"/>
  <c r="M45" i="61"/>
  <c r="N44" i="61"/>
  <c r="O44" i="61" s="1"/>
  <c r="S45" i="56"/>
  <c r="T44" i="56"/>
  <c r="M45" i="63"/>
  <c r="N44" i="63"/>
  <c r="O44" i="63" s="1"/>
  <c r="M45" i="58"/>
  <c r="N44" i="58"/>
  <c r="O44" i="58" s="1"/>
  <c r="S45" i="61"/>
  <c r="T44" i="61"/>
  <c r="M45" i="59"/>
  <c r="N44" i="59"/>
  <c r="O44" i="59" s="1"/>
  <c r="M45" i="64"/>
  <c r="N44" i="64"/>
  <c r="O44" i="64" s="1"/>
  <c r="S45" i="53"/>
  <c r="T44" i="53"/>
  <c r="M45" i="53"/>
  <c r="N44" i="53"/>
  <c r="O44" i="53" s="1"/>
  <c r="T44" i="59"/>
  <c r="S45" i="59"/>
  <c r="M45" i="60"/>
  <c r="N44" i="60"/>
  <c r="O44" i="60" s="1"/>
  <c r="S44" i="63"/>
  <c r="T42" i="63"/>
  <c r="S45" i="58"/>
  <c r="T44" i="58"/>
  <c r="O14" i="49"/>
  <c r="Q18" i="44"/>
  <c r="R18" i="44" s="1"/>
  <c r="T18" i="44" s="1"/>
  <c r="K18" i="44"/>
  <c r="L18" i="44" s="1"/>
  <c r="N18" i="44" s="1"/>
  <c r="F18" i="44"/>
  <c r="G18" i="44" s="1"/>
  <c r="I18" i="44" s="1"/>
  <c r="Q18" i="48"/>
  <c r="R18" i="48" s="1"/>
  <c r="T18" i="48" s="1"/>
  <c r="K18" i="48"/>
  <c r="L18" i="48" s="1"/>
  <c r="N18" i="48" s="1"/>
  <c r="F18" i="48"/>
  <c r="G18" i="48" s="1"/>
  <c r="I18" i="48" s="1"/>
  <c r="Q18" i="45"/>
  <c r="R18" i="45" s="1"/>
  <c r="T18" i="45" s="1"/>
  <c r="K18" i="45"/>
  <c r="L18" i="45" s="1"/>
  <c r="N18" i="45" s="1"/>
  <c r="F18" i="45"/>
  <c r="G18" i="45" s="1"/>
  <c r="I18" i="45" s="1"/>
  <c r="T87" i="49" l="1"/>
  <c r="T91" i="46"/>
  <c r="S95" i="46"/>
  <c r="T95" i="46" s="1"/>
  <c r="N87" i="49"/>
  <c r="I87" i="49"/>
  <c r="O82" i="49"/>
  <c r="S84" i="45"/>
  <c r="S85" i="45"/>
  <c r="T85" i="45" s="1"/>
  <c r="M84" i="45"/>
  <c r="M85" i="45"/>
  <c r="N85" i="45" s="1"/>
  <c r="H84" i="45"/>
  <c r="H85" i="45"/>
  <c r="I85" i="45" s="1"/>
  <c r="O78" i="49"/>
  <c r="O84" i="49"/>
  <c r="O87" i="49" s="1"/>
  <c r="T88" i="46"/>
  <c r="S90" i="46"/>
  <c r="H83" i="45"/>
  <c r="H89" i="45" s="1"/>
  <c r="I89" i="45" s="1"/>
  <c r="H82" i="45"/>
  <c r="I81" i="45"/>
  <c r="O80" i="45"/>
  <c r="S83" i="45"/>
  <c r="S89" i="45" s="1"/>
  <c r="T89" i="45" s="1"/>
  <c r="S82" i="45"/>
  <c r="T81" i="45"/>
  <c r="M83" i="45"/>
  <c r="M89" i="45" s="1"/>
  <c r="N89" i="45" s="1"/>
  <c r="M82" i="45"/>
  <c r="N81" i="45"/>
  <c r="T54" i="52"/>
  <c r="S55" i="52"/>
  <c r="N54" i="52"/>
  <c r="O54" i="52" s="1"/>
  <c r="M55" i="52"/>
  <c r="N54" i="55"/>
  <c r="O54" i="55" s="1"/>
  <c r="M55" i="55"/>
  <c r="T54" i="55"/>
  <c r="S55" i="55"/>
  <c r="T54" i="62"/>
  <c r="S55" i="62"/>
  <c r="N54" i="62"/>
  <c r="O54" i="62" s="1"/>
  <c r="M55" i="62"/>
  <c r="N54" i="54"/>
  <c r="O54" i="54" s="1"/>
  <c r="M55" i="54"/>
  <c r="T54" i="54"/>
  <c r="S55" i="54"/>
  <c r="S89" i="46"/>
  <c r="T87" i="46"/>
  <c r="O81" i="49"/>
  <c r="S53" i="60"/>
  <c r="T52" i="60"/>
  <c r="S46" i="53"/>
  <c r="T45" i="53"/>
  <c r="S46" i="61"/>
  <c r="T45" i="61"/>
  <c r="S46" i="56"/>
  <c r="T45" i="56"/>
  <c r="S46" i="58"/>
  <c r="T45" i="58"/>
  <c r="M46" i="64"/>
  <c r="N45" i="64"/>
  <c r="O45" i="64" s="1"/>
  <c r="M46" i="58"/>
  <c r="N45" i="58"/>
  <c r="O45" i="58" s="1"/>
  <c r="M46" i="61"/>
  <c r="N45" i="61"/>
  <c r="O45" i="61" s="1"/>
  <c r="M46" i="60"/>
  <c r="N45" i="60"/>
  <c r="O45" i="60" s="1"/>
  <c r="S46" i="59"/>
  <c r="T45" i="59"/>
  <c r="S45" i="63"/>
  <c r="T44" i="63"/>
  <c r="M46" i="53"/>
  <c r="N45" i="53"/>
  <c r="O45" i="53" s="1"/>
  <c r="M46" i="59"/>
  <c r="N45" i="59"/>
  <c r="O45" i="59" s="1"/>
  <c r="M46" i="63"/>
  <c r="N45" i="63"/>
  <c r="O45" i="63" s="1"/>
  <c r="M46" i="56"/>
  <c r="N45" i="56"/>
  <c r="O45" i="56" s="1"/>
  <c r="O18" i="44"/>
  <c r="O18" i="48"/>
  <c r="O18" i="45"/>
  <c r="Q24" i="46"/>
  <c r="R24" i="46" s="1"/>
  <c r="T24" i="46" s="1"/>
  <c r="K24" i="46"/>
  <c r="L24" i="46" s="1"/>
  <c r="N24" i="46" s="1"/>
  <c r="F24" i="46"/>
  <c r="G24" i="46" s="1"/>
  <c r="I24" i="46" s="1"/>
  <c r="N84" i="45" l="1"/>
  <c r="M90" i="45"/>
  <c r="N90" i="45" s="1"/>
  <c r="O89" i="45"/>
  <c r="I84" i="45"/>
  <c r="H90" i="45"/>
  <c r="I90" i="45" s="1"/>
  <c r="T84" i="45"/>
  <c r="S90" i="45"/>
  <c r="T90" i="45" s="1"/>
  <c r="T90" i="46"/>
  <c r="S94" i="46"/>
  <c r="T94" i="46" s="1"/>
  <c r="S93" i="46"/>
  <c r="T93" i="46" s="1"/>
  <c r="S86" i="45"/>
  <c r="T86" i="45" s="1"/>
  <c r="S87" i="45"/>
  <c r="T87" i="45" s="1"/>
  <c r="H86" i="45"/>
  <c r="I86" i="45" s="1"/>
  <c r="H87" i="45"/>
  <c r="I87" i="45" s="1"/>
  <c r="M86" i="45"/>
  <c r="N86" i="45" s="1"/>
  <c r="O86" i="45" s="1"/>
  <c r="M87" i="45"/>
  <c r="N87" i="45" s="1"/>
  <c r="O85" i="45"/>
  <c r="T83" i="45"/>
  <c r="S88" i="45"/>
  <c r="T88" i="45" s="1"/>
  <c r="N83" i="45"/>
  <c r="M88" i="45"/>
  <c r="N88" i="45" s="1"/>
  <c r="I83" i="45"/>
  <c r="H88" i="45"/>
  <c r="I88" i="45" s="1"/>
  <c r="T89" i="46"/>
  <c r="S92" i="46"/>
  <c r="T92" i="46" s="1"/>
  <c r="T96" i="46" s="1"/>
  <c r="O81" i="45"/>
  <c r="T82" i="45"/>
  <c r="T91" i="45" s="1"/>
  <c r="I82" i="45"/>
  <c r="N82" i="45"/>
  <c r="N91" i="45" s="1"/>
  <c r="M57" i="52"/>
  <c r="N55" i="52"/>
  <c r="O55" i="52" s="1"/>
  <c r="S57" i="52"/>
  <c r="T55" i="52"/>
  <c r="S57" i="55"/>
  <c r="T55" i="55"/>
  <c r="M57" i="55"/>
  <c r="N55" i="55"/>
  <c r="O55" i="55" s="1"/>
  <c r="S57" i="62"/>
  <c r="T55" i="62"/>
  <c r="M57" i="62"/>
  <c r="N55" i="62"/>
  <c r="O55" i="62" s="1"/>
  <c r="S57" i="54"/>
  <c r="T55" i="54"/>
  <c r="M57" i="54"/>
  <c r="N55" i="54"/>
  <c r="O55" i="54" s="1"/>
  <c r="S54" i="60"/>
  <c r="T53" i="60"/>
  <c r="T46" i="59"/>
  <c r="S47" i="59"/>
  <c r="M47" i="58"/>
  <c r="N46" i="58"/>
  <c r="O46" i="58" s="1"/>
  <c r="S47" i="56"/>
  <c r="T46" i="56"/>
  <c r="M47" i="59"/>
  <c r="N46" i="59"/>
  <c r="O46" i="59" s="1"/>
  <c r="N46" i="56"/>
  <c r="O46" i="56" s="1"/>
  <c r="M47" i="56"/>
  <c r="M47" i="53"/>
  <c r="N46" i="53"/>
  <c r="O46" i="53" s="1"/>
  <c r="N46" i="60"/>
  <c r="O46" i="60" s="1"/>
  <c r="M47" i="60"/>
  <c r="M47" i="64"/>
  <c r="N46" i="64"/>
  <c r="O46" i="64" s="1"/>
  <c r="S47" i="61"/>
  <c r="T46" i="61"/>
  <c r="M47" i="63"/>
  <c r="N46" i="63"/>
  <c r="O46" i="63" s="1"/>
  <c r="S46" i="63"/>
  <c r="T45" i="63"/>
  <c r="M47" i="61"/>
  <c r="N46" i="61"/>
  <c r="O46" i="61" s="1"/>
  <c r="S47" i="58"/>
  <c r="T46" i="58"/>
  <c r="S47" i="53"/>
  <c r="T46" i="53"/>
  <c r="O24" i="46"/>
  <c r="O90" i="45" l="1"/>
  <c r="I91" i="45"/>
  <c r="O84" i="45"/>
  <c r="O88" i="45"/>
  <c r="O87" i="45"/>
  <c r="O82" i="45"/>
  <c r="O83" i="45"/>
  <c r="T54" i="60"/>
  <c r="S55" i="60"/>
  <c r="S58" i="52"/>
  <c r="S61" i="52" s="1"/>
  <c r="T57" i="52"/>
  <c r="M58" i="52"/>
  <c r="M61" i="52" s="1"/>
  <c r="N57" i="52"/>
  <c r="M58" i="55"/>
  <c r="M61" i="55" s="1"/>
  <c r="N57" i="55"/>
  <c r="S58" i="55"/>
  <c r="S61" i="55" s="1"/>
  <c r="T57" i="55"/>
  <c r="M58" i="62"/>
  <c r="M61" i="62" s="1"/>
  <c r="N57" i="62"/>
  <c r="S58" i="62"/>
  <c r="S61" i="62" s="1"/>
  <c r="T57" i="62"/>
  <c r="M58" i="54"/>
  <c r="M61" i="54" s="1"/>
  <c r="N57" i="54"/>
  <c r="S58" i="54"/>
  <c r="S61" i="54" s="1"/>
  <c r="T57" i="54"/>
  <c r="M48" i="53"/>
  <c r="N47" i="53"/>
  <c r="O47" i="53" s="1"/>
  <c r="T47" i="56"/>
  <c r="S48" i="56"/>
  <c r="S48" i="61"/>
  <c r="T47" i="61"/>
  <c r="M48" i="64"/>
  <c r="N47" i="64"/>
  <c r="O47" i="64" s="1"/>
  <c r="M48" i="58"/>
  <c r="N47" i="58"/>
  <c r="O47" i="58" s="1"/>
  <c r="M48" i="56"/>
  <c r="N47" i="56"/>
  <c r="O47" i="56" s="1"/>
  <c r="S47" i="63"/>
  <c r="T46" i="63"/>
  <c r="M48" i="60"/>
  <c r="N47" i="60"/>
  <c r="O47" i="60" s="1"/>
  <c r="S48" i="59"/>
  <c r="T47" i="59"/>
  <c r="M48" i="61"/>
  <c r="N47" i="61"/>
  <c r="O47" i="61" s="1"/>
  <c r="S48" i="53"/>
  <c r="T47" i="53"/>
  <c r="S48" i="58"/>
  <c r="T47" i="58"/>
  <c r="M48" i="63"/>
  <c r="N47" i="63"/>
  <c r="O47" i="63" s="1"/>
  <c r="N47" i="59"/>
  <c r="O47" i="59" s="1"/>
  <c r="M48" i="59"/>
  <c r="Q23" i="46"/>
  <c r="R23" i="46" s="1"/>
  <c r="T23" i="46" s="1"/>
  <c r="Q22" i="46"/>
  <c r="R22" i="46" s="1"/>
  <c r="T22" i="46" s="1"/>
  <c r="Q13" i="49"/>
  <c r="R13" i="49" s="1"/>
  <c r="T13" i="49" s="1"/>
  <c r="Q12" i="49"/>
  <c r="R12" i="49" s="1"/>
  <c r="T12" i="49" s="1"/>
  <c r="Q11" i="49"/>
  <c r="R11" i="49" s="1"/>
  <c r="T11" i="49" s="1"/>
  <c r="Q10" i="49"/>
  <c r="R10" i="49" s="1"/>
  <c r="T10" i="49" s="1"/>
  <c r="R7" i="49"/>
  <c r="T7" i="49" s="1"/>
  <c r="T8" i="49" s="1"/>
  <c r="Q17" i="45"/>
  <c r="R17" i="45" s="1"/>
  <c r="T17" i="45" s="1"/>
  <c r="Q16" i="45"/>
  <c r="R16" i="45" s="1"/>
  <c r="T16" i="45" s="1"/>
  <c r="Q11" i="45"/>
  <c r="R11" i="45" s="1"/>
  <c r="T11" i="45" s="1"/>
  <c r="Q10" i="45"/>
  <c r="R10" i="45" s="1"/>
  <c r="T10" i="45" s="1"/>
  <c r="Q17" i="48"/>
  <c r="R17" i="48" s="1"/>
  <c r="T17" i="48" s="1"/>
  <c r="Q16" i="48"/>
  <c r="R16" i="48" s="1"/>
  <c r="T16" i="48" s="1"/>
  <c r="Q15" i="48"/>
  <c r="R15" i="48" s="1"/>
  <c r="T15" i="48" s="1"/>
  <c r="Q14" i="48"/>
  <c r="R14" i="48" s="1"/>
  <c r="T14" i="48" s="1"/>
  <c r="Q11" i="48"/>
  <c r="R11" i="48" s="1"/>
  <c r="T11" i="48" s="1"/>
  <c r="Q10" i="48"/>
  <c r="R10" i="48" s="1"/>
  <c r="T10" i="48" s="1"/>
  <c r="G7" i="44"/>
  <c r="I7" i="44" s="1"/>
  <c r="L7" i="44"/>
  <c r="N7" i="44" s="1"/>
  <c r="F8" i="44"/>
  <c r="G8" i="44" s="1"/>
  <c r="I8" i="44" s="1"/>
  <c r="K8" i="44"/>
  <c r="L8" i="44" s="1"/>
  <c r="N8" i="44" s="1"/>
  <c r="F9" i="44"/>
  <c r="G9" i="44" s="1"/>
  <c r="I9" i="44" s="1"/>
  <c r="K9" i="44"/>
  <c r="L9" i="44" s="1"/>
  <c r="N9" i="44" s="1"/>
  <c r="F10" i="44"/>
  <c r="G10" i="44" s="1"/>
  <c r="I10" i="44" s="1"/>
  <c r="K10" i="44"/>
  <c r="L10" i="44" s="1"/>
  <c r="N10" i="44" s="1"/>
  <c r="Q10" i="44"/>
  <c r="R10" i="44" s="1"/>
  <c r="T10" i="44" s="1"/>
  <c r="Q17" i="44"/>
  <c r="R17" i="44" s="1"/>
  <c r="T17" i="44" s="1"/>
  <c r="Q16" i="44"/>
  <c r="R16" i="44" s="1"/>
  <c r="T16" i="44" s="1"/>
  <c r="Q15" i="44"/>
  <c r="R15" i="44" s="1"/>
  <c r="T15" i="44" s="1"/>
  <c r="Q14" i="44"/>
  <c r="R14" i="44" s="1"/>
  <c r="T14" i="44" s="1"/>
  <c r="Q11" i="44"/>
  <c r="R11" i="44" s="1"/>
  <c r="T11" i="44" s="1"/>
  <c r="T61" i="62" l="1"/>
  <c r="S67" i="62"/>
  <c r="T67" i="62" s="1"/>
  <c r="N61" i="62"/>
  <c r="O61" i="62" s="1"/>
  <c r="M67" i="62"/>
  <c r="N67" i="62" s="1"/>
  <c r="O67" i="62" s="1"/>
  <c r="T61" i="55"/>
  <c r="S67" i="55"/>
  <c r="T67" i="55" s="1"/>
  <c r="N61" i="55"/>
  <c r="O61" i="55" s="1"/>
  <c r="M67" i="55"/>
  <c r="N67" i="55" s="1"/>
  <c r="O67" i="55" s="1"/>
  <c r="T61" i="54"/>
  <c r="S67" i="54"/>
  <c r="T67" i="54" s="1"/>
  <c r="N61" i="54"/>
  <c r="O61" i="54" s="1"/>
  <c r="M67" i="54"/>
  <c r="N67" i="54" s="1"/>
  <c r="O67" i="54" s="1"/>
  <c r="N61" i="52"/>
  <c r="O61" i="52" s="1"/>
  <c r="M67" i="52"/>
  <c r="N67" i="52" s="1"/>
  <c r="O67" i="52" s="1"/>
  <c r="T61" i="52"/>
  <c r="S67" i="52"/>
  <c r="T67" i="52" s="1"/>
  <c r="O91" i="45"/>
  <c r="O57" i="52"/>
  <c r="O57" i="54"/>
  <c r="O57" i="55"/>
  <c r="O57" i="62"/>
  <c r="S57" i="60"/>
  <c r="T55" i="60"/>
  <c r="M60" i="52"/>
  <c r="M66" i="52" s="1"/>
  <c r="N66" i="52" s="1"/>
  <c r="O66" i="52" s="1"/>
  <c r="M59" i="52"/>
  <c r="N58" i="52"/>
  <c r="O58" i="52" s="1"/>
  <c r="S60" i="52"/>
  <c r="S66" i="52" s="1"/>
  <c r="T66" i="52" s="1"/>
  <c r="S59" i="52"/>
  <c r="T58" i="52"/>
  <c r="S60" i="55"/>
  <c r="S66" i="55" s="1"/>
  <c r="T66" i="55" s="1"/>
  <c r="S59" i="55"/>
  <c r="T58" i="55"/>
  <c r="M60" i="55"/>
  <c r="M66" i="55" s="1"/>
  <c r="N66" i="55" s="1"/>
  <c r="O66" i="55" s="1"/>
  <c r="M59" i="55"/>
  <c r="N58" i="55"/>
  <c r="O58" i="55" s="1"/>
  <c r="S60" i="62"/>
  <c r="S66" i="62" s="1"/>
  <c r="T66" i="62" s="1"/>
  <c r="S59" i="62"/>
  <c r="T58" i="62"/>
  <c r="M60" i="62"/>
  <c r="M66" i="62" s="1"/>
  <c r="N66" i="62" s="1"/>
  <c r="O66" i="62" s="1"/>
  <c r="M59" i="62"/>
  <c r="N58" i="62"/>
  <c r="O58" i="62" s="1"/>
  <c r="S60" i="54"/>
  <c r="S66" i="54" s="1"/>
  <c r="T66" i="54" s="1"/>
  <c r="S59" i="54"/>
  <c r="T58" i="54"/>
  <c r="M60" i="54"/>
  <c r="M66" i="54" s="1"/>
  <c r="N66" i="54" s="1"/>
  <c r="O66" i="54" s="1"/>
  <c r="M59" i="54"/>
  <c r="N58" i="54"/>
  <c r="O58" i="54" s="1"/>
  <c r="S49" i="58"/>
  <c r="T48" i="58"/>
  <c r="T48" i="59"/>
  <c r="S49" i="59"/>
  <c r="N48" i="56"/>
  <c r="O48" i="56" s="1"/>
  <c r="M49" i="56"/>
  <c r="S49" i="61"/>
  <c r="T48" i="61"/>
  <c r="N48" i="59"/>
  <c r="O48" i="59" s="1"/>
  <c r="M49" i="59"/>
  <c r="T48" i="56"/>
  <c r="S49" i="56"/>
  <c r="S49" i="53"/>
  <c r="T48" i="53"/>
  <c r="N48" i="60"/>
  <c r="O48" i="60" s="1"/>
  <c r="M49" i="60"/>
  <c r="M49" i="58"/>
  <c r="N48" i="58"/>
  <c r="O48" i="58" s="1"/>
  <c r="M49" i="63"/>
  <c r="N48" i="63"/>
  <c r="O48" i="63" s="1"/>
  <c r="M49" i="61"/>
  <c r="N48" i="61"/>
  <c r="O48" i="61" s="1"/>
  <c r="S48" i="63"/>
  <c r="T47" i="63"/>
  <c r="M49" i="64"/>
  <c r="N48" i="64"/>
  <c r="O48" i="64" s="1"/>
  <c r="M49" i="53"/>
  <c r="N48" i="53"/>
  <c r="O48" i="53" s="1"/>
  <c r="T12" i="45"/>
  <c r="T26" i="44"/>
  <c r="T26" i="45"/>
  <c r="T12" i="44"/>
  <c r="T26" i="48"/>
  <c r="T12" i="48"/>
  <c r="T32" i="46"/>
  <c r="T22" i="49"/>
  <c r="I7" i="50"/>
  <c r="I6" i="50"/>
  <c r="I5" i="50"/>
  <c r="I8" i="50"/>
  <c r="I4" i="50"/>
  <c r="O10" i="44"/>
  <c r="O7" i="44"/>
  <c r="O8" i="44"/>
  <c r="O9" i="44"/>
  <c r="K13" i="49"/>
  <c r="L13" i="49" s="1"/>
  <c r="N13" i="49" s="1"/>
  <c r="F13" i="49"/>
  <c r="G13" i="49" s="1"/>
  <c r="I13" i="49" s="1"/>
  <c r="K23" i="46"/>
  <c r="L23" i="46" s="1"/>
  <c r="N23" i="46" s="1"/>
  <c r="F23" i="46"/>
  <c r="G23" i="46" s="1"/>
  <c r="I23" i="46" s="1"/>
  <c r="K17" i="45"/>
  <c r="L17" i="45" s="1"/>
  <c r="N17" i="45" s="1"/>
  <c r="F17" i="45"/>
  <c r="G17" i="45" s="1"/>
  <c r="I17" i="45" s="1"/>
  <c r="K17" i="48"/>
  <c r="L17" i="48" s="1"/>
  <c r="N17" i="48" s="1"/>
  <c r="F17" i="48"/>
  <c r="G17" i="48" s="1"/>
  <c r="I17" i="48" s="1"/>
  <c r="K17" i="44"/>
  <c r="L17" i="44" s="1"/>
  <c r="N17" i="44" s="1"/>
  <c r="F17" i="44"/>
  <c r="G17" i="44" s="1"/>
  <c r="I17" i="44" s="1"/>
  <c r="M63" i="62" l="1"/>
  <c r="N63" i="62" s="1"/>
  <c r="O63" i="62" s="1"/>
  <c r="M64" i="62"/>
  <c r="N64" i="62" s="1"/>
  <c r="O64" i="62" s="1"/>
  <c r="S63" i="62"/>
  <c r="T63" i="62" s="1"/>
  <c r="S64" i="62"/>
  <c r="T64" i="62" s="1"/>
  <c r="S63" i="55"/>
  <c r="T63" i="55" s="1"/>
  <c r="S64" i="55"/>
  <c r="T64" i="55" s="1"/>
  <c r="M63" i="55"/>
  <c r="N63" i="55" s="1"/>
  <c r="O63" i="55" s="1"/>
  <c r="M64" i="55"/>
  <c r="N64" i="55" s="1"/>
  <c r="O64" i="55" s="1"/>
  <c r="S63" i="54"/>
  <c r="T63" i="54" s="1"/>
  <c r="S64" i="54"/>
  <c r="T64" i="54" s="1"/>
  <c r="M63" i="54"/>
  <c r="N63" i="54" s="1"/>
  <c r="O63" i="54" s="1"/>
  <c r="M64" i="54"/>
  <c r="N64" i="54" s="1"/>
  <c r="O64" i="54" s="1"/>
  <c r="S63" i="52"/>
  <c r="T63" i="52" s="1"/>
  <c r="S64" i="52"/>
  <c r="T64" i="52" s="1"/>
  <c r="M63" i="52"/>
  <c r="N63" i="52" s="1"/>
  <c r="O63" i="52" s="1"/>
  <c r="M64" i="52"/>
  <c r="N64" i="52" s="1"/>
  <c r="O64" i="52" s="1"/>
  <c r="T60" i="62"/>
  <c r="S65" i="62"/>
  <c r="T65" i="62" s="1"/>
  <c r="N60" i="62"/>
  <c r="O60" i="62" s="1"/>
  <c r="M65" i="62"/>
  <c r="N65" i="62" s="1"/>
  <c r="O65" i="62" s="1"/>
  <c r="N60" i="55"/>
  <c r="O60" i="55" s="1"/>
  <c r="M65" i="55"/>
  <c r="N65" i="55" s="1"/>
  <c r="O65" i="55" s="1"/>
  <c r="T60" i="55"/>
  <c r="S65" i="55"/>
  <c r="T65" i="55" s="1"/>
  <c r="N60" i="54"/>
  <c r="O60" i="54" s="1"/>
  <c r="M65" i="54"/>
  <c r="N65" i="54" s="1"/>
  <c r="O65" i="54" s="1"/>
  <c r="T60" i="54"/>
  <c r="S65" i="54"/>
  <c r="T65" i="54" s="1"/>
  <c r="N60" i="52"/>
  <c r="O60" i="52" s="1"/>
  <c r="M65" i="52"/>
  <c r="N65" i="52" s="1"/>
  <c r="O65" i="52" s="1"/>
  <c r="T60" i="52"/>
  <c r="S65" i="52"/>
  <c r="T65" i="52" s="1"/>
  <c r="S58" i="60"/>
  <c r="S61" i="60" s="1"/>
  <c r="T57" i="60"/>
  <c r="M62" i="52"/>
  <c r="N62" i="52" s="1"/>
  <c r="O62" i="52" s="1"/>
  <c r="N59" i="52"/>
  <c r="O59" i="52" s="1"/>
  <c r="S62" i="52"/>
  <c r="T62" i="52" s="1"/>
  <c r="T59" i="52"/>
  <c r="S62" i="55"/>
  <c r="T62" i="55" s="1"/>
  <c r="T59" i="55"/>
  <c r="M62" i="55"/>
  <c r="N62" i="55" s="1"/>
  <c r="O62" i="55" s="1"/>
  <c r="N59" i="55"/>
  <c r="O59" i="55" s="1"/>
  <c r="M62" i="62"/>
  <c r="N62" i="62" s="1"/>
  <c r="O62" i="62" s="1"/>
  <c r="N59" i="62"/>
  <c r="O59" i="62" s="1"/>
  <c r="S62" i="62"/>
  <c r="T62" i="62" s="1"/>
  <c r="T59" i="62"/>
  <c r="S62" i="54"/>
  <c r="T62" i="54" s="1"/>
  <c r="T59" i="54"/>
  <c r="T68" i="54" s="1"/>
  <c r="M62" i="54"/>
  <c r="N62" i="54" s="1"/>
  <c r="O62" i="54" s="1"/>
  <c r="N59" i="54"/>
  <c r="O59" i="54" s="1"/>
  <c r="S50" i="56"/>
  <c r="T49" i="56"/>
  <c r="M50" i="56"/>
  <c r="N49" i="56"/>
  <c r="O49" i="56" s="1"/>
  <c r="S49" i="63"/>
  <c r="T48" i="63"/>
  <c r="M50" i="58"/>
  <c r="N49" i="58"/>
  <c r="O49" i="58" s="1"/>
  <c r="M50" i="60"/>
  <c r="N49" i="60"/>
  <c r="O49" i="60" s="1"/>
  <c r="M50" i="59"/>
  <c r="N49" i="59"/>
  <c r="O49" i="59" s="1"/>
  <c r="S50" i="59"/>
  <c r="T49" i="59"/>
  <c r="M50" i="53"/>
  <c r="N49" i="53"/>
  <c r="O49" i="53" s="1"/>
  <c r="M50" i="61"/>
  <c r="N49" i="61"/>
  <c r="O49" i="61" s="1"/>
  <c r="M50" i="64"/>
  <c r="N49" i="64"/>
  <c r="O49" i="64" s="1"/>
  <c r="M50" i="63"/>
  <c r="N49" i="63"/>
  <c r="O49" i="63" s="1"/>
  <c r="S50" i="53"/>
  <c r="T49" i="53"/>
  <c r="S50" i="61"/>
  <c r="T49" i="61"/>
  <c r="S50" i="58"/>
  <c r="T49" i="58"/>
  <c r="O13" i="49"/>
  <c r="O17" i="48"/>
  <c r="O17" i="44"/>
  <c r="O17" i="45"/>
  <c r="O23" i="46"/>
  <c r="K12" i="49"/>
  <c r="L12" i="49" s="1"/>
  <c r="N12" i="49" s="1"/>
  <c r="F12" i="49"/>
  <c r="G12" i="49" s="1"/>
  <c r="I12" i="49" s="1"/>
  <c r="K22" i="46"/>
  <c r="L22" i="46" s="1"/>
  <c r="N22" i="46" s="1"/>
  <c r="N32" i="46" s="1"/>
  <c r="F22" i="46"/>
  <c r="G22" i="46" s="1"/>
  <c r="I22" i="46" s="1"/>
  <c r="I32" i="46" s="1"/>
  <c r="T61" i="60" l="1"/>
  <c r="S67" i="60"/>
  <c r="T67" i="60" s="1"/>
  <c r="O68" i="62"/>
  <c r="O68" i="54"/>
  <c r="N68" i="54"/>
  <c r="T68" i="62"/>
  <c r="N68" i="62"/>
  <c r="S60" i="60"/>
  <c r="S66" i="60" s="1"/>
  <c r="T66" i="60" s="1"/>
  <c r="S59" i="60"/>
  <c r="T58" i="60"/>
  <c r="N50" i="61"/>
  <c r="O50" i="61" s="1"/>
  <c r="M51" i="61"/>
  <c r="N50" i="59"/>
  <c r="O50" i="59" s="1"/>
  <c r="M51" i="59"/>
  <c r="T50" i="58"/>
  <c r="S51" i="58"/>
  <c r="N50" i="63"/>
  <c r="O50" i="63" s="1"/>
  <c r="M51" i="63"/>
  <c r="N50" i="53"/>
  <c r="O50" i="53" s="1"/>
  <c r="M51" i="53"/>
  <c r="N50" i="60"/>
  <c r="O50" i="60" s="1"/>
  <c r="M51" i="60"/>
  <c r="N50" i="56"/>
  <c r="O50" i="56" s="1"/>
  <c r="M51" i="56"/>
  <c r="T50" i="53"/>
  <c r="S51" i="53"/>
  <c r="T50" i="61"/>
  <c r="S51" i="61"/>
  <c r="N50" i="64"/>
  <c r="O50" i="64" s="1"/>
  <c r="M51" i="64"/>
  <c r="T50" i="59"/>
  <c r="S51" i="59"/>
  <c r="N50" i="58"/>
  <c r="O50" i="58" s="1"/>
  <c r="M51" i="58"/>
  <c r="T50" i="56"/>
  <c r="S51" i="56"/>
  <c r="S50" i="63"/>
  <c r="T49" i="63"/>
  <c r="O12" i="49"/>
  <c r="O22" i="46"/>
  <c r="O32" i="46" s="1"/>
  <c r="K16" i="45"/>
  <c r="L16" i="45" s="1"/>
  <c r="N16" i="45" s="1"/>
  <c r="N26" i="45" s="1"/>
  <c r="F16" i="45"/>
  <c r="G16" i="45" s="1"/>
  <c r="I16" i="45" s="1"/>
  <c r="I26" i="45" s="1"/>
  <c r="K16" i="44"/>
  <c r="L16" i="44" s="1"/>
  <c r="N16" i="44" s="1"/>
  <c r="F16" i="44"/>
  <c r="G16" i="44" s="1"/>
  <c r="I16" i="44" s="1"/>
  <c r="K16" i="48"/>
  <c r="L16" i="48" s="1"/>
  <c r="N16" i="48" s="1"/>
  <c r="F16" i="48"/>
  <c r="G16" i="48" s="1"/>
  <c r="I16" i="48" s="1"/>
  <c r="S63" i="60" l="1"/>
  <c r="T63" i="60" s="1"/>
  <c r="S64" i="60"/>
  <c r="T64" i="60" s="1"/>
  <c r="T60" i="60"/>
  <c r="S65" i="60"/>
  <c r="T65" i="60" s="1"/>
  <c r="S62" i="60"/>
  <c r="T62" i="60" s="1"/>
  <c r="T59" i="60"/>
  <c r="M52" i="60"/>
  <c r="N51" i="60"/>
  <c r="O51" i="60" s="1"/>
  <c r="S52" i="59"/>
  <c r="T51" i="59"/>
  <c r="S52" i="53"/>
  <c r="T51" i="53"/>
  <c r="M52" i="53"/>
  <c r="N51" i="53"/>
  <c r="O51" i="53" s="1"/>
  <c r="M52" i="59"/>
  <c r="N51" i="59"/>
  <c r="O51" i="59" s="1"/>
  <c r="M52" i="58"/>
  <c r="N51" i="58"/>
  <c r="O51" i="58" s="1"/>
  <c r="T51" i="58"/>
  <c r="S52" i="58"/>
  <c r="T50" i="63"/>
  <c r="S51" i="63"/>
  <c r="S52" i="61"/>
  <c r="T51" i="61"/>
  <c r="T51" i="56"/>
  <c r="S52" i="56"/>
  <c r="M52" i="64"/>
  <c r="N51" i="64"/>
  <c r="O51" i="64" s="1"/>
  <c r="M52" i="56"/>
  <c r="N51" i="56"/>
  <c r="O51" i="56" s="1"/>
  <c r="M52" i="63"/>
  <c r="N51" i="63"/>
  <c r="O51" i="63" s="1"/>
  <c r="M52" i="61"/>
  <c r="N51" i="61"/>
  <c r="O51" i="61" s="1"/>
  <c r="O16" i="48"/>
  <c r="O16" i="44"/>
  <c r="O16" i="45"/>
  <c r="O26" i="45" s="1"/>
  <c r="L7" i="48"/>
  <c r="N7" i="48" s="1"/>
  <c r="K8" i="48"/>
  <c r="G7" i="48"/>
  <c r="I7" i="48" s="1"/>
  <c r="F8" i="48"/>
  <c r="G8" i="48" s="1"/>
  <c r="I8" i="48" s="1"/>
  <c r="L7" i="45"/>
  <c r="N7" i="45" s="1"/>
  <c r="K8" i="45"/>
  <c r="L8" i="45" s="1"/>
  <c r="N8" i="45" s="1"/>
  <c r="G7" i="45"/>
  <c r="I7" i="45" s="1"/>
  <c r="F8" i="45"/>
  <c r="T68" i="60" l="1"/>
  <c r="M53" i="56"/>
  <c r="N52" i="56"/>
  <c r="O52" i="56" s="1"/>
  <c r="S53" i="61"/>
  <c r="T52" i="61"/>
  <c r="M53" i="58"/>
  <c r="N52" i="58"/>
  <c r="O52" i="58" s="1"/>
  <c r="S53" i="53"/>
  <c r="T52" i="53"/>
  <c r="S52" i="63"/>
  <c r="T51" i="63"/>
  <c r="M53" i="61"/>
  <c r="N52" i="61"/>
  <c r="O52" i="61" s="1"/>
  <c r="M53" i="64"/>
  <c r="N52" i="64"/>
  <c r="O52" i="64" s="1"/>
  <c r="M53" i="59"/>
  <c r="N52" i="59"/>
  <c r="O52" i="59" s="1"/>
  <c r="S53" i="59"/>
  <c r="T52" i="59"/>
  <c r="S53" i="56"/>
  <c r="S53" i="58"/>
  <c r="T52" i="58"/>
  <c r="M53" i="63"/>
  <c r="N52" i="63"/>
  <c r="O52" i="63" s="1"/>
  <c r="M53" i="53"/>
  <c r="N52" i="53"/>
  <c r="O52" i="53" s="1"/>
  <c r="M53" i="60"/>
  <c r="N52" i="60"/>
  <c r="O52" i="60" s="1"/>
  <c r="O7" i="45"/>
  <c r="O7" i="48"/>
  <c r="L8" i="48"/>
  <c r="N8" i="48" s="1"/>
  <c r="M54" i="63" l="1"/>
  <c r="N53" i="63"/>
  <c r="O53" i="63" s="1"/>
  <c r="S54" i="59"/>
  <c r="T53" i="59"/>
  <c r="M54" i="61"/>
  <c r="N53" i="61"/>
  <c r="O53" i="61" s="1"/>
  <c r="M54" i="58"/>
  <c r="N53" i="58"/>
  <c r="O53" i="58" s="1"/>
  <c r="S54" i="58"/>
  <c r="T53" i="58"/>
  <c r="M54" i="59"/>
  <c r="N53" i="59"/>
  <c r="O53" i="59" s="1"/>
  <c r="S53" i="63"/>
  <c r="T52" i="63"/>
  <c r="S54" i="61"/>
  <c r="T53" i="61"/>
  <c r="M54" i="60"/>
  <c r="N53" i="60"/>
  <c r="O53" i="60" s="1"/>
  <c r="M54" i="53"/>
  <c r="N53" i="53"/>
  <c r="O53" i="53" s="1"/>
  <c r="S54" i="56"/>
  <c r="M54" i="64"/>
  <c r="N53" i="64"/>
  <c r="O53" i="64" s="1"/>
  <c r="S54" i="53"/>
  <c r="T53" i="53"/>
  <c r="M54" i="56"/>
  <c r="N53" i="56"/>
  <c r="O53" i="56" s="1"/>
  <c r="O8" i="48"/>
  <c r="K11" i="49"/>
  <c r="L11" i="49" s="1"/>
  <c r="N11" i="49" s="1"/>
  <c r="F11" i="49"/>
  <c r="G11" i="49" s="1"/>
  <c r="I11" i="49" s="1"/>
  <c r="K10" i="49"/>
  <c r="L10" i="49" s="1"/>
  <c r="N10" i="49" s="1"/>
  <c r="F10" i="49"/>
  <c r="G10" i="49" s="1"/>
  <c r="I10" i="49" s="1"/>
  <c r="L7" i="49"/>
  <c r="N7" i="49" s="1"/>
  <c r="N8" i="49" s="1"/>
  <c r="G7" i="49"/>
  <c r="I7" i="49" s="1"/>
  <c r="I8" i="49" s="1"/>
  <c r="K15" i="48"/>
  <c r="L15" i="48" s="1"/>
  <c r="N15" i="48" s="1"/>
  <c r="F15" i="48"/>
  <c r="G15" i="48" s="1"/>
  <c r="I15" i="48" s="1"/>
  <c r="K14" i="48"/>
  <c r="L14" i="48" s="1"/>
  <c r="N14" i="48" s="1"/>
  <c r="F14" i="48"/>
  <c r="G14" i="48" s="1"/>
  <c r="I14" i="48" s="1"/>
  <c r="K11" i="48"/>
  <c r="L11" i="48" s="1"/>
  <c r="N11" i="48" s="1"/>
  <c r="F11" i="48"/>
  <c r="G11" i="48" s="1"/>
  <c r="I11" i="48" s="1"/>
  <c r="K10" i="48"/>
  <c r="L10" i="48" s="1"/>
  <c r="N10" i="48" s="1"/>
  <c r="F10" i="48"/>
  <c r="G10" i="48" s="1"/>
  <c r="I10" i="48" s="1"/>
  <c r="K9" i="48"/>
  <c r="L9" i="48" s="1"/>
  <c r="N9" i="48" s="1"/>
  <c r="F9" i="48"/>
  <c r="N54" i="60" l="1"/>
  <c r="O54" i="60" s="1"/>
  <c r="M55" i="60"/>
  <c r="N54" i="63"/>
  <c r="O54" i="63" s="1"/>
  <c r="M55" i="63"/>
  <c r="T54" i="61"/>
  <c r="S55" i="61"/>
  <c r="N54" i="61"/>
  <c r="O54" i="61" s="1"/>
  <c r="M55" i="61"/>
  <c r="N54" i="56"/>
  <c r="O54" i="56" s="1"/>
  <c r="M55" i="56"/>
  <c r="S55" i="56"/>
  <c r="N54" i="53"/>
  <c r="O54" i="53" s="1"/>
  <c r="M55" i="53"/>
  <c r="T54" i="53"/>
  <c r="S55" i="53"/>
  <c r="N54" i="58"/>
  <c r="O54" i="58" s="1"/>
  <c r="M55" i="58"/>
  <c r="T54" i="58"/>
  <c r="S55" i="58"/>
  <c r="T54" i="59"/>
  <c r="S55" i="59"/>
  <c r="N54" i="59"/>
  <c r="O54" i="59" s="1"/>
  <c r="M55" i="59"/>
  <c r="N54" i="64"/>
  <c r="O54" i="64" s="1"/>
  <c r="M55" i="64"/>
  <c r="S54" i="63"/>
  <c r="T53" i="63"/>
  <c r="N22" i="49"/>
  <c r="N26" i="48"/>
  <c r="N12" i="48"/>
  <c r="I26" i="48"/>
  <c r="I22" i="49"/>
  <c r="J6" i="50"/>
  <c r="K6" i="50"/>
  <c r="O14" i="48"/>
  <c r="O15" i="48"/>
  <c r="O7" i="49"/>
  <c r="O8" i="49" s="1"/>
  <c r="O11" i="49"/>
  <c r="K8" i="50"/>
  <c r="O10" i="49"/>
  <c r="G9" i="48"/>
  <c r="I9" i="48" s="1"/>
  <c r="O11" i="48"/>
  <c r="O10" i="48"/>
  <c r="M57" i="60" l="1"/>
  <c r="N55" i="60"/>
  <c r="O55" i="60" s="1"/>
  <c r="M57" i="63"/>
  <c r="N55" i="63"/>
  <c r="O55" i="63" s="1"/>
  <c r="T54" i="63"/>
  <c r="S55" i="63"/>
  <c r="S57" i="61"/>
  <c r="T55" i="61"/>
  <c r="M57" i="61"/>
  <c r="N55" i="61"/>
  <c r="O55" i="61" s="1"/>
  <c r="S57" i="56"/>
  <c r="M57" i="56"/>
  <c r="N55" i="56"/>
  <c r="O55" i="56" s="1"/>
  <c r="S57" i="53"/>
  <c r="T55" i="53"/>
  <c r="M57" i="53"/>
  <c r="N55" i="53"/>
  <c r="O55" i="53" s="1"/>
  <c r="S57" i="58"/>
  <c r="T55" i="58"/>
  <c r="M57" i="58"/>
  <c r="N55" i="58"/>
  <c r="O55" i="58" s="1"/>
  <c r="S57" i="59"/>
  <c r="T55" i="59"/>
  <c r="M57" i="59"/>
  <c r="N55" i="59"/>
  <c r="O55" i="59" s="1"/>
  <c r="M57" i="64"/>
  <c r="N55" i="64"/>
  <c r="O55" i="64" s="1"/>
  <c r="O26" i="48"/>
  <c r="O9" i="48"/>
  <c r="O12" i="48" s="1"/>
  <c r="I12" i="48"/>
  <c r="O22" i="49"/>
  <c r="L6" i="50"/>
  <c r="M58" i="60" l="1"/>
  <c r="M61" i="60" s="1"/>
  <c r="N57" i="60"/>
  <c r="S57" i="63"/>
  <c r="T55" i="63"/>
  <c r="M58" i="63"/>
  <c r="M61" i="63" s="1"/>
  <c r="N57" i="63"/>
  <c r="M58" i="61"/>
  <c r="M61" i="61" s="1"/>
  <c r="N57" i="61"/>
  <c r="S58" i="61"/>
  <c r="S61" i="61" s="1"/>
  <c r="T57" i="61"/>
  <c r="M58" i="56"/>
  <c r="M61" i="56" s="1"/>
  <c r="N57" i="56"/>
  <c r="S58" i="56"/>
  <c r="S61" i="56" s="1"/>
  <c r="S67" i="56" s="1"/>
  <c r="T68" i="56"/>
  <c r="M58" i="53"/>
  <c r="M61" i="53" s="1"/>
  <c r="N57" i="53"/>
  <c r="S58" i="53"/>
  <c r="S61" i="53" s="1"/>
  <c r="T57" i="53"/>
  <c r="M58" i="58"/>
  <c r="M61" i="58" s="1"/>
  <c r="N57" i="58"/>
  <c r="S58" i="58"/>
  <c r="S61" i="58" s="1"/>
  <c r="T57" i="58"/>
  <c r="M58" i="59"/>
  <c r="M61" i="59" s="1"/>
  <c r="N57" i="59"/>
  <c r="S58" i="59"/>
  <c r="S61" i="59" s="1"/>
  <c r="T57" i="59"/>
  <c r="M58" i="64"/>
  <c r="N57" i="64"/>
  <c r="J7" i="50"/>
  <c r="K7" i="50"/>
  <c r="K11" i="45"/>
  <c r="L11" i="45" s="1"/>
  <c r="N11" i="45" s="1"/>
  <c r="F11" i="45"/>
  <c r="G11" i="45" s="1"/>
  <c r="I11" i="45" s="1"/>
  <c r="N61" i="63" l="1"/>
  <c r="O61" i="63" s="1"/>
  <c r="M67" i="63"/>
  <c r="N67" i="63" s="1"/>
  <c r="O67" i="63" s="1"/>
  <c r="N61" i="61"/>
  <c r="O61" i="61" s="1"/>
  <c r="M67" i="61"/>
  <c r="N67" i="61" s="1"/>
  <c r="O67" i="61" s="1"/>
  <c r="T61" i="61"/>
  <c r="S67" i="61"/>
  <c r="T67" i="61" s="1"/>
  <c r="N61" i="60"/>
  <c r="O61" i="60" s="1"/>
  <c r="M67" i="60"/>
  <c r="N67" i="60" s="1"/>
  <c r="O67" i="60" s="1"/>
  <c r="N61" i="59"/>
  <c r="O61" i="59" s="1"/>
  <c r="M67" i="59"/>
  <c r="N67" i="59" s="1"/>
  <c r="O67" i="59" s="1"/>
  <c r="T61" i="59"/>
  <c r="S67" i="59"/>
  <c r="T67" i="59" s="1"/>
  <c r="N61" i="58"/>
  <c r="O61" i="58" s="1"/>
  <c r="M67" i="58"/>
  <c r="N67" i="58" s="1"/>
  <c r="O67" i="58" s="1"/>
  <c r="T61" i="58"/>
  <c r="S67" i="58"/>
  <c r="N61" i="56"/>
  <c r="O61" i="56" s="1"/>
  <c r="M67" i="56"/>
  <c r="N67" i="56" s="1"/>
  <c r="O67" i="56" s="1"/>
  <c r="N61" i="53"/>
  <c r="O61" i="53" s="1"/>
  <c r="M67" i="53"/>
  <c r="N67" i="53" s="1"/>
  <c r="O67" i="53" s="1"/>
  <c r="T61" i="53"/>
  <c r="S67" i="53"/>
  <c r="T67" i="53" s="1"/>
  <c r="O57" i="53"/>
  <c r="O57" i="56"/>
  <c r="O57" i="58"/>
  <c r="O57" i="59"/>
  <c r="O57" i="60"/>
  <c r="O57" i="61"/>
  <c r="O57" i="63"/>
  <c r="O57" i="64"/>
  <c r="M61" i="64"/>
  <c r="M62" i="64"/>
  <c r="N62" i="64" s="1"/>
  <c r="O62" i="64" s="1"/>
  <c r="M60" i="60"/>
  <c r="M66" i="60" s="1"/>
  <c r="N66" i="60" s="1"/>
  <c r="O66" i="60" s="1"/>
  <c r="M59" i="60"/>
  <c r="N58" i="60"/>
  <c r="O58" i="60" s="1"/>
  <c r="M60" i="63"/>
  <c r="M66" i="63" s="1"/>
  <c r="N66" i="63" s="1"/>
  <c r="O66" i="63" s="1"/>
  <c r="M59" i="63"/>
  <c r="N58" i="63"/>
  <c r="O58" i="63" s="1"/>
  <c r="S58" i="63"/>
  <c r="S61" i="63" s="1"/>
  <c r="T57" i="63"/>
  <c r="S60" i="61"/>
  <c r="S66" i="61" s="1"/>
  <c r="T66" i="61" s="1"/>
  <c r="S59" i="61"/>
  <c r="T58" i="61"/>
  <c r="M60" i="61"/>
  <c r="M66" i="61" s="1"/>
  <c r="N66" i="61" s="1"/>
  <c r="O66" i="61" s="1"/>
  <c r="M59" i="61"/>
  <c r="N58" i="61"/>
  <c r="O58" i="61" s="1"/>
  <c r="S60" i="56"/>
  <c r="S66" i="56" s="1"/>
  <c r="S59" i="56"/>
  <c r="M60" i="56"/>
  <c r="M66" i="56" s="1"/>
  <c r="N66" i="56" s="1"/>
  <c r="O66" i="56" s="1"/>
  <c r="M59" i="56"/>
  <c r="N58" i="56"/>
  <c r="O58" i="56" s="1"/>
  <c r="S60" i="53"/>
  <c r="S66" i="53" s="1"/>
  <c r="T66" i="53" s="1"/>
  <c r="S59" i="53"/>
  <c r="T58" i="53"/>
  <c r="M60" i="53"/>
  <c r="M66" i="53" s="1"/>
  <c r="N66" i="53" s="1"/>
  <c r="O66" i="53" s="1"/>
  <c r="M59" i="53"/>
  <c r="N58" i="53"/>
  <c r="O58" i="53" s="1"/>
  <c r="M60" i="58"/>
  <c r="M66" i="58" s="1"/>
  <c r="N66" i="58" s="1"/>
  <c r="O66" i="58" s="1"/>
  <c r="M59" i="58"/>
  <c r="N58" i="58"/>
  <c r="O58" i="58" s="1"/>
  <c r="S60" i="58"/>
  <c r="S66" i="58" s="1"/>
  <c r="S59" i="58"/>
  <c r="T58" i="58"/>
  <c r="S60" i="59"/>
  <c r="S66" i="59" s="1"/>
  <c r="T66" i="59" s="1"/>
  <c r="S59" i="59"/>
  <c r="T58" i="59"/>
  <c r="M60" i="59"/>
  <c r="M66" i="59" s="1"/>
  <c r="N66" i="59" s="1"/>
  <c r="O66" i="59" s="1"/>
  <c r="M59" i="59"/>
  <c r="N58" i="59"/>
  <c r="O58" i="59" s="1"/>
  <c r="M60" i="64"/>
  <c r="M67" i="64" s="1"/>
  <c r="N67" i="64" s="1"/>
  <c r="O67" i="64" s="1"/>
  <c r="M59" i="64"/>
  <c r="N58" i="64"/>
  <c r="O58" i="64" s="1"/>
  <c r="L7" i="50"/>
  <c r="J4" i="50"/>
  <c r="K4" i="50"/>
  <c r="O11" i="45"/>
  <c r="N61" i="64" l="1"/>
  <c r="O61" i="64" s="1"/>
  <c r="M68" i="64"/>
  <c r="N68" i="64" s="1"/>
  <c r="O68" i="64" s="1"/>
  <c r="T61" i="63"/>
  <c r="S67" i="63"/>
  <c r="T67" i="63" s="1"/>
  <c r="M64" i="64"/>
  <c r="N64" i="64" s="1"/>
  <c r="O64" i="64" s="1"/>
  <c r="M65" i="64"/>
  <c r="N65" i="64" s="1"/>
  <c r="O65" i="64" s="1"/>
  <c r="M63" i="63"/>
  <c r="N63" i="63" s="1"/>
  <c r="O63" i="63" s="1"/>
  <c r="M64" i="63"/>
  <c r="N64" i="63" s="1"/>
  <c r="O64" i="63" s="1"/>
  <c r="S63" i="61"/>
  <c r="T63" i="61" s="1"/>
  <c r="S64" i="61"/>
  <c r="T64" i="61" s="1"/>
  <c r="M63" i="61"/>
  <c r="N63" i="61" s="1"/>
  <c r="O63" i="61" s="1"/>
  <c r="M64" i="61"/>
  <c r="N64" i="61" s="1"/>
  <c r="O64" i="61" s="1"/>
  <c r="M63" i="60"/>
  <c r="N63" i="60" s="1"/>
  <c r="O63" i="60" s="1"/>
  <c r="M64" i="60"/>
  <c r="N64" i="60" s="1"/>
  <c r="O64" i="60" s="1"/>
  <c r="S63" i="59"/>
  <c r="T63" i="59" s="1"/>
  <c r="S64" i="59"/>
  <c r="T64" i="59" s="1"/>
  <c r="M63" i="59"/>
  <c r="N63" i="59" s="1"/>
  <c r="O63" i="59" s="1"/>
  <c r="M64" i="59"/>
  <c r="N64" i="59" s="1"/>
  <c r="O64" i="59" s="1"/>
  <c r="S63" i="58"/>
  <c r="S64" i="58"/>
  <c r="M63" i="58"/>
  <c r="N63" i="58" s="1"/>
  <c r="O63" i="58" s="1"/>
  <c r="M64" i="58"/>
  <c r="N64" i="58" s="1"/>
  <c r="O64" i="58" s="1"/>
  <c r="M63" i="56"/>
  <c r="N63" i="56" s="1"/>
  <c r="O63" i="56" s="1"/>
  <c r="M64" i="56"/>
  <c r="N64" i="56" s="1"/>
  <c r="O64" i="56" s="1"/>
  <c r="S63" i="56"/>
  <c r="S64" i="56"/>
  <c r="S63" i="53"/>
  <c r="T63" i="53" s="1"/>
  <c r="S64" i="53"/>
  <c r="T64" i="53" s="1"/>
  <c r="M63" i="53"/>
  <c r="N63" i="53" s="1"/>
  <c r="O63" i="53" s="1"/>
  <c r="M64" i="53"/>
  <c r="N64" i="53" s="1"/>
  <c r="O64" i="53" s="1"/>
  <c r="N60" i="64"/>
  <c r="O60" i="64" s="1"/>
  <c r="M66" i="64"/>
  <c r="N66" i="64" s="1"/>
  <c r="O66" i="64" s="1"/>
  <c r="N60" i="63"/>
  <c r="O60" i="63" s="1"/>
  <c r="M65" i="63"/>
  <c r="N65" i="63" s="1"/>
  <c r="O65" i="63" s="1"/>
  <c r="T60" i="61"/>
  <c r="S65" i="61"/>
  <c r="T65" i="61" s="1"/>
  <c r="N60" i="61"/>
  <c r="O60" i="61" s="1"/>
  <c r="M65" i="61"/>
  <c r="N65" i="61" s="1"/>
  <c r="O65" i="61" s="1"/>
  <c r="N60" i="60"/>
  <c r="O60" i="60" s="1"/>
  <c r="M65" i="60"/>
  <c r="N65" i="60" s="1"/>
  <c r="O65" i="60" s="1"/>
  <c r="T60" i="59"/>
  <c r="S65" i="59"/>
  <c r="T65" i="59" s="1"/>
  <c r="N60" i="59"/>
  <c r="O60" i="59" s="1"/>
  <c r="M65" i="59"/>
  <c r="N65" i="59" s="1"/>
  <c r="O65" i="59" s="1"/>
  <c r="T60" i="58"/>
  <c r="S65" i="58"/>
  <c r="N60" i="58"/>
  <c r="O60" i="58" s="1"/>
  <c r="M65" i="58"/>
  <c r="N65" i="58" s="1"/>
  <c r="O65" i="58" s="1"/>
  <c r="N60" i="56"/>
  <c r="O60" i="56" s="1"/>
  <c r="M65" i="56"/>
  <c r="N65" i="56" s="1"/>
  <c r="O65" i="56" s="1"/>
  <c r="S65" i="56"/>
  <c r="T60" i="53"/>
  <c r="S65" i="53"/>
  <c r="T65" i="53" s="1"/>
  <c r="N60" i="53"/>
  <c r="O60" i="53" s="1"/>
  <c r="M65" i="53"/>
  <c r="N65" i="53" s="1"/>
  <c r="O65" i="53" s="1"/>
  <c r="M62" i="60"/>
  <c r="N62" i="60" s="1"/>
  <c r="O62" i="60" s="1"/>
  <c r="N59" i="60"/>
  <c r="O59" i="60" s="1"/>
  <c r="S60" i="63"/>
  <c r="S66" i="63" s="1"/>
  <c r="T66" i="63" s="1"/>
  <c r="S59" i="63"/>
  <c r="T58" i="63"/>
  <c r="M62" i="63"/>
  <c r="N62" i="63" s="1"/>
  <c r="O62" i="63" s="1"/>
  <c r="N59" i="63"/>
  <c r="O59" i="63" s="1"/>
  <c r="O68" i="63" s="1"/>
  <c r="S62" i="61"/>
  <c r="T62" i="61" s="1"/>
  <c r="T59" i="61"/>
  <c r="M62" i="61"/>
  <c r="N62" i="61" s="1"/>
  <c r="O62" i="61" s="1"/>
  <c r="N59" i="61"/>
  <c r="O59" i="61" s="1"/>
  <c r="O68" i="61" s="1"/>
  <c r="S62" i="56"/>
  <c r="M62" i="56"/>
  <c r="N62" i="56" s="1"/>
  <c r="O62" i="56" s="1"/>
  <c r="N59" i="56"/>
  <c r="O59" i="56" s="1"/>
  <c r="S62" i="53"/>
  <c r="T62" i="53" s="1"/>
  <c r="T59" i="53"/>
  <c r="M62" i="53"/>
  <c r="N62" i="53" s="1"/>
  <c r="O62" i="53" s="1"/>
  <c r="N59" i="53"/>
  <c r="O59" i="53" s="1"/>
  <c r="M62" i="58"/>
  <c r="N62" i="58" s="1"/>
  <c r="O62" i="58" s="1"/>
  <c r="N59" i="58"/>
  <c r="O59" i="58" s="1"/>
  <c r="S62" i="58"/>
  <c r="T59" i="58"/>
  <c r="S62" i="59"/>
  <c r="T62" i="59" s="1"/>
  <c r="T59" i="59"/>
  <c r="M62" i="59"/>
  <c r="N62" i="59" s="1"/>
  <c r="O62" i="59" s="1"/>
  <c r="N59" i="59"/>
  <c r="O59" i="59" s="1"/>
  <c r="M63" i="64"/>
  <c r="N63" i="64" s="1"/>
  <c r="O63" i="64" s="1"/>
  <c r="N59" i="64"/>
  <c r="O59" i="64" s="1"/>
  <c r="O69" i="64" s="1"/>
  <c r="L4" i="50"/>
  <c r="K10" i="45"/>
  <c r="L10" i="45" s="1"/>
  <c r="N10" i="45" s="1"/>
  <c r="K9" i="45"/>
  <c r="L9" i="45" s="1"/>
  <c r="N9" i="45" s="1"/>
  <c r="F10" i="45"/>
  <c r="G10" i="45" s="1"/>
  <c r="I10" i="45" s="1"/>
  <c r="F9" i="45"/>
  <c r="G9" i="45" s="1"/>
  <c r="I9" i="45" s="1"/>
  <c r="O68" i="60" l="1"/>
  <c r="S63" i="63"/>
  <c r="T63" i="63" s="1"/>
  <c r="S64" i="63"/>
  <c r="T64" i="63" s="1"/>
  <c r="T68" i="61"/>
  <c r="T68" i="59"/>
  <c r="O68" i="58"/>
  <c r="T68" i="58"/>
  <c r="O68" i="56"/>
  <c r="N68" i="56"/>
  <c r="N68" i="58"/>
  <c r="O68" i="59"/>
  <c r="N68" i="59"/>
  <c r="N68" i="60"/>
  <c r="N68" i="61"/>
  <c r="N68" i="63"/>
  <c r="N69" i="64"/>
  <c r="T60" i="63"/>
  <c r="S65" i="63"/>
  <c r="T65" i="63" s="1"/>
  <c r="S62" i="63"/>
  <c r="T62" i="63" s="1"/>
  <c r="T59" i="63"/>
  <c r="N12" i="45"/>
  <c r="O10" i="45"/>
  <c r="O9" i="45"/>
  <c r="T68" i="63" l="1"/>
  <c r="G8" i="45"/>
  <c r="I8" i="45" s="1"/>
  <c r="O8" i="45" l="1"/>
  <c r="O12" i="45" s="1"/>
  <c r="I12" i="45"/>
  <c r="K15" i="44"/>
  <c r="L15" i="44" s="1"/>
  <c r="N15" i="44" s="1"/>
  <c r="F15" i="44"/>
  <c r="G15" i="44" s="1"/>
  <c r="I15" i="44" s="1"/>
  <c r="O15" i="44" l="1"/>
  <c r="K11" i="44"/>
  <c r="L11" i="44" s="1"/>
  <c r="N11" i="44" s="1"/>
  <c r="N12" i="44" s="1"/>
  <c r="K14" i="44"/>
  <c r="L14" i="44" s="1"/>
  <c r="N14" i="44" s="1"/>
  <c r="N26" i="44" s="1"/>
  <c r="F11" i="44"/>
  <c r="G11" i="44" s="1"/>
  <c r="I11" i="44" s="1"/>
  <c r="I12" i="44" s="1"/>
  <c r="F14" i="44"/>
  <c r="G14" i="44" s="1"/>
  <c r="I14" i="44" s="1"/>
  <c r="I26" i="44" s="1"/>
  <c r="J5" i="50" l="1"/>
  <c r="O14" i="44"/>
  <c r="O26" i="44" s="1"/>
  <c r="K5" i="50"/>
  <c r="O11" i="44"/>
  <c r="O12" i="44" s="1"/>
  <c r="L5" i="50" l="1"/>
  <c r="J8" i="50" l="1"/>
  <c r="L8" i="50" s="1"/>
</calcChain>
</file>

<file path=xl/sharedStrings.xml><?xml version="1.0" encoding="utf-8"?>
<sst xmlns="http://schemas.openxmlformats.org/spreadsheetml/2006/main" count="6727" uniqueCount="333">
  <si>
    <t>Name</t>
  </si>
  <si>
    <t>Reading Date</t>
  </si>
  <si>
    <t>Division</t>
  </si>
  <si>
    <t>Constant</t>
  </si>
  <si>
    <t>CHAMUNDESHWARI ELECTRICITY SUPPLY CORPORATION LIMITED</t>
  </si>
  <si>
    <t>RR No</t>
  </si>
  <si>
    <t>Address</t>
  </si>
  <si>
    <t>Sub Division/Section</t>
  </si>
  <si>
    <t>Date of PPA</t>
  </si>
  <si>
    <t>Contact No</t>
  </si>
  <si>
    <t>Date of Commission</t>
  </si>
  <si>
    <t>Sl.No.</t>
  </si>
  <si>
    <t>Sanctioned Load in KW</t>
  </si>
  <si>
    <t>Connected Load in KW (Solar Load)</t>
  </si>
  <si>
    <t>Import Reading (From CESC)</t>
  </si>
  <si>
    <t>Export Reading (To CESC)</t>
  </si>
  <si>
    <t>Net Consumption (Export-Import)</t>
  </si>
  <si>
    <t>Signature</t>
  </si>
  <si>
    <t>Present Reading</t>
  </si>
  <si>
    <t>Previous Reading</t>
  </si>
  <si>
    <t>Difference</t>
  </si>
  <si>
    <t>Total Import Energy</t>
  </si>
  <si>
    <t>Total Export Energy</t>
  </si>
  <si>
    <t>The readings should not be rounded off and should be furnished with atleast 2 decimals.</t>
  </si>
  <si>
    <t>Import readings should be furnished without fail.</t>
  </si>
  <si>
    <t>The above reading sheet must be signed by AEE (El) of the concerned Subdivision.</t>
  </si>
  <si>
    <t>01.01.2018</t>
  </si>
  <si>
    <t>01.02.2018</t>
  </si>
  <si>
    <t>01.03.2018</t>
  </si>
  <si>
    <t>01.04.2018</t>
  </si>
  <si>
    <t>01.05.2018</t>
  </si>
  <si>
    <t>01.06.2018</t>
  </si>
  <si>
    <t>5KW</t>
  </si>
  <si>
    <t>Hunsur</t>
  </si>
  <si>
    <t>O &amp; M Hampapura Section office, HD Kote subdivision, HD Kote Taluk</t>
  </si>
  <si>
    <t>HD Kote</t>
  </si>
  <si>
    <t>Meter reading details of RR No HKQ1 (Solar Rooftop Gross Metering Installation)</t>
  </si>
  <si>
    <t>HKQ1</t>
  </si>
  <si>
    <t>CESC SUBDIVISION Office</t>
  </si>
  <si>
    <t>17.11.2017</t>
  </si>
  <si>
    <t>Meter reading details of RR No HDTL56522 (Solar Rooftop Gross Metering Installation)</t>
  </si>
  <si>
    <t>HDTL56522</t>
  </si>
  <si>
    <t>GOVT PU Girl college</t>
  </si>
  <si>
    <t>H D Kote</t>
  </si>
  <si>
    <t>5 KW</t>
  </si>
  <si>
    <t>GOVT GIRIJAN BOYS Hostel</t>
  </si>
  <si>
    <t>Meter reading details of RR No HDTL60092 (Solar Rooftop Gross Metering Installation)</t>
  </si>
  <si>
    <t>HDTL60092</t>
  </si>
  <si>
    <t>Meter reading details of RR No HHDHT88 (Solar Rooftop Gross Metering Installation)</t>
  </si>
  <si>
    <t>KB Kashinath, Sapthagiri Farms,Alanahalli Village, HD Kote Tq.</t>
  </si>
  <si>
    <t>HHDHT88</t>
  </si>
  <si>
    <t>27.09.17</t>
  </si>
  <si>
    <t>27.02.18</t>
  </si>
  <si>
    <t>31.10.17</t>
  </si>
  <si>
    <t>04.05.2017</t>
  </si>
  <si>
    <t>01.12.2017</t>
  </si>
  <si>
    <t>01.07.2018</t>
  </si>
  <si>
    <t>MHQ06</t>
  </si>
  <si>
    <t>73 KW</t>
  </si>
  <si>
    <t>KB Kashinath</t>
  </si>
  <si>
    <t>Social Welfare Officer.</t>
  </si>
  <si>
    <t>Principal</t>
  </si>
  <si>
    <t>AEE CESC HD Kote</t>
  </si>
  <si>
    <t>Section Officer</t>
  </si>
  <si>
    <t>01.08.2018</t>
  </si>
  <si>
    <t>Export=Genaeration</t>
  </si>
  <si>
    <t>Generated</t>
  </si>
  <si>
    <t>Check meter Reading (Generation)</t>
  </si>
  <si>
    <t>SUB-DIVISION</t>
  </si>
  <si>
    <t>H.D KOTE</t>
  </si>
  <si>
    <t>SI.NO</t>
  </si>
  <si>
    <t xml:space="preserve">Name of the section </t>
  </si>
  <si>
    <t xml:space="preserve">Name of Applicant </t>
  </si>
  <si>
    <t>RR NO</t>
  </si>
  <si>
    <t>Sanctioned Load  in kw</t>
  </si>
  <si>
    <t xml:space="preserve">Category of Consumer Private/Govt </t>
  </si>
  <si>
    <t>SRTPV Capacity in kw</t>
  </si>
  <si>
    <t>Tariff for solar Energy</t>
  </si>
  <si>
    <t>Total Generation</t>
  </si>
  <si>
    <t xml:space="preserve">Imported Energy </t>
  </si>
  <si>
    <t xml:space="preserve">Exported Energy </t>
  </si>
  <si>
    <t>Net Energy</t>
  </si>
  <si>
    <t xml:space="preserve">Power Purchase Cost paid to the Consumer </t>
  </si>
  <si>
    <t>Hampapura</t>
  </si>
  <si>
    <t>Section office CESC, Hampapura</t>
  </si>
  <si>
    <t>MHQ-6</t>
  </si>
  <si>
    <t xml:space="preserve">Govt </t>
  </si>
  <si>
    <t>LT3(II)</t>
  </si>
  <si>
    <t>Installed by CESC</t>
  </si>
  <si>
    <t>Town section</t>
  </si>
  <si>
    <t>Govt Girls College H D Kote</t>
  </si>
  <si>
    <t>HDTL-56522</t>
  </si>
  <si>
    <t>LT2B(I)</t>
  </si>
  <si>
    <t>Boys Hostel H D Kote</t>
  </si>
  <si>
    <t>HDTL-60092</t>
  </si>
  <si>
    <t>LT2A(I)</t>
  </si>
  <si>
    <t>O&amp;M Sub Dvn CESC, H D Kote</t>
  </si>
  <si>
    <t>HKQ-1</t>
  </si>
  <si>
    <t>LT3(I</t>
  </si>
  <si>
    <t>Alanahalli</t>
  </si>
  <si>
    <t>Kashinath</t>
  </si>
  <si>
    <t>Private</t>
  </si>
  <si>
    <t>HT2A(II</t>
  </si>
  <si>
    <t>01.09.2018</t>
  </si>
  <si>
    <t>01.10.2018</t>
  </si>
  <si>
    <t>ENERGY DETAILS OF SRTPV NET METERING PLANT FOR FY 2018-19</t>
  </si>
  <si>
    <t>01.11.2018</t>
  </si>
  <si>
    <t>01.12.2018</t>
  </si>
  <si>
    <t>01.01.2019</t>
  </si>
  <si>
    <t>01.02.2019</t>
  </si>
  <si>
    <t>Meter reading details of RR No MHQ06 (Solar Rooftop Gross Metering Installation)</t>
  </si>
  <si>
    <t>01.03.2019</t>
  </si>
  <si>
    <t>01.11.2017</t>
  </si>
  <si>
    <t>01.10.2017</t>
  </si>
  <si>
    <t>01.09.2017</t>
  </si>
  <si>
    <t>01.08.2017</t>
  </si>
  <si>
    <t>01.06.2017</t>
  </si>
  <si>
    <t>01.04.2019</t>
  </si>
  <si>
    <t>01.05.2019</t>
  </si>
  <si>
    <t>01.06.2019</t>
  </si>
  <si>
    <t>01.07.2017</t>
  </si>
  <si>
    <t>TOTAL</t>
  </si>
  <si>
    <t>3 KW</t>
  </si>
  <si>
    <t>2 KW</t>
  </si>
  <si>
    <t>3KW</t>
  </si>
  <si>
    <t xml:space="preserve"> SECTION office cesc</t>
  </si>
  <si>
    <t>Section officer</t>
  </si>
  <si>
    <t>HKQ7</t>
  </si>
  <si>
    <t>Meter reading details of RR No HKQ 7 (Solar Rooftop Gross Metering Installation)</t>
  </si>
  <si>
    <t>HAEH224</t>
  </si>
  <si>
    <t>Meter reading details of RR No HAEH224 (Solar Rooftop Gross Metering Installation)</t>
  </si>
  <si>
    <t>20-02-2019</t>
  </si>
  <si>
    <t>20.02.209</t>
  </si>
  <si>
    <t xml:space="preserve"> Director Veternary Hospital</t>
  </si>
  <si>
    <t>Director Veternary Hospital</t>
  </si>
  <si>
    <t>HKL546</t>
  </si>
  <si>
    <t>Meter reading details of RR No HKL546 (Solar Rooftop Gross Metering Installation)</t>
  </si>
  <si>
    <t>SUB INSPECTOR OF POLICE</t>
  </si>
  <si>
    <t>0.88KW</t>
  </si>
  <si>
    <t>Meter reading details of RR No HDTCL2809 (Solar Rooftop Gross Metering Installation)</t>
  </si>
  <si>
    <t>HDTCL2809</t>
  </si>
  <si>
    <t xml:space="preserve">AEE,K.S.P.H.C BANGALORE </t>
  </si>
  <si>
    <t>10.06-2019</t>
  </si>
  <si>
    <t>20.02.2019</t>
  </si>
  <si>
    <t>03.06.2019</t>
  </si>
  <si>
    <t xml:space="preserve">9480688153
</t>
  </si>
  <si>
    <t>06.06.2019</t>
  </si>
  <si>
    <t xml:space="preserve">9480805063
</t>
  </si>
  <si>
    <t xml:space="preserve">B.E.O OFFICE </t>
  </si>
  <si>
    <t>HKL263</t>
  </si>
  <si>
    <t>0.64KW</t>
  </si>
  <si>
    <t>Meter reading details of RR No HKL263 (Solar Rooftop Gross Metering Installation)</t>
  </si>
  <si>
    <t>06.06-2019</t>
  </si>
  <si>
    <t>HKL351</t>
  </si>
  <si>
    <t>Meter reading details of RR No HKL351 (Solar Rooftop Gross Metering Installation)</t>
  </si>
  <si>
    <t>ASST DTRECTOR, HARTY CALCHAR</t>
  </si>
  <si>
    <t>0.72KW</t>
  </si>
  <si>
    <t>HKL373</t>
  </si>
  <si>
    <t>HEAD MASTER GOVT GRLIS H.P. SCHOOL</t>
  </si>
  <si>
    <t>Meter reading details of RR No HKL373 (Solar Rooftop Gross Metering Installation)</t>
  </si>
  <si>
    <t>0.24KW</t>
  </si>
  <si>
    <t>HEAD MASTER GOVT BOY H.P. SCHOOL</t>
  </si>
  <si>
    <t>Meter reading details of RR No HKL77 (Solar Rooftop Gross Metering Installation)</t>
  </si>
  <si>
    <t>HKL77</t>
  </si>
  <si>
    <t>9740504420
Corporation 0</t>
  </si>
  <si>
    <t>11.06-2019</t>
  </si>
  <si>
    <t>Meter reading details of RR No HKL279(Solar Rooftop Gross Metering Installation)</t>
  </si>
  <si>
    <t>HKL279</t>
  </si>
  <si>
    <t>ASST EX ECUTIVE ENGNEER PWD</t>
  </si>
  <si>
    <t>9844587199
Corporation 0</t>
  </si>
  <si>
    <t>Meter reading details of RR No HDTL60474(Solar Rooftop Gross Metering Installation)</t>
  </si>
  <si>
    <t>TALLUKU SOCIAL WELFARE OFFICER</t>
  </si>
  <si>
    <t>Meter reading details of RR No HKL2180(Solar Rooftop Gross Metering Installation)</t>
  </si>
  <si>
    <t>HKL2180</t>
  </si>
  <si>
    <t>ASST. DIRECTOR OF AGRICULTURE</t>
  </si>
  <si>
    <t>2.82KW</t>
  </si>
  <si>
    <t>AGRICULTURE OFFICE</t>
  </si>
  <si>
    <t>GOVT DEGREE BOYS HOSTEL</t>
  </si>
  <si>
    <t>EXECITIVE OFFICR</t>
  </si>
  <si>
    <t>DEVARAJ PRE-METRIC BOYS HOSTEL</t>
  </si>
  <si>
    <t>HKAEH5</t>
  </si>
  <si>
    <t>Meter reading details of RR No HKAEH5(Solar Rooftop Gross Metering Installation)</t>
  </si>
  <si>
    <t>GOVT  PRE-METRIC GIRLS HOSTEL</t>
  </si>
  <si>
    <t>BDO LADIES Sc/ St HOSTEL</t>
  </si>
  <si>
    <t>Meter reading details of RR No HKL891(Solar Rooftop Gross Metering Installation)</t>
  </si>
  <si>
    <t>Meter reading details of RR No HKL1720(Solar Rooftop Gross Metering Installation)</t>
  </si>
  <si>
    <t>HKL891</t>
  </si>
  <si>
    <t>HKL1720</t>
  </si>
  <si>
    <t>HEADMASTER</t>
  </si>
  <si>
    <t>GOVT URDU PRIMARY SCHOOL</t>
  </si>
  <si>
    <t>0.12KW</t>
  </si>
  <si>
    <t>Meter reading details of RR No HDTL31052(Solar Rooftop Gross Metering Installation)</t>
  </si>
  <si>
    <t>HDTL31052</t>
  </si>
  <si>
    <t>HEAD MASTER G.L.P.S</t>
  </si>
  <si>
    <t>1KW</t>
  </si>
  <si>
    <t>01.07.2019</t>
  </si>
  <si>
    <t>Total Generated Energy</t>
  </si>
  <si>
    <t>2.6KW</t>
  </si>
  <si>
    <t>8 KW</t>
  </si>
  <si>
    <t>84 KW</t>
  </si>
  <si>
    <t>HEAD MASTER GOVT GIRLS H.P. SCHOOL</t>
  </si>
  <si>
    <t>2KW</t>
  </si>
  <si>
    <t>HDTL60474</t>
  </si>
  <si>
    <t>01.08.2019</t>
  </si>
  <si>
    <t xml:space="preserve">ENERGY DETAILS OF SRTPV PLANT </t>
  </si>
  <si>
    <t>Sl No</t>
  </si>
  <si>
    <t>Name of Section</t>
  </si>
  <si>
    <t>Name of the feeder/code</t>
  </si>
  <si>
    <t>Name of Applicant</t>
  </si>
  <si>
    <t>Sanctioned Load- kW</t>
  </si>
  <si>
    <t>Category of Consumer</t>
  </si>
  <si>
    <t>IPDS/ NON IPDS</t>
  </si>
  <si>
    <t>SRTPV Capacity-kW</t>
  </si>
  <si>
    <t>Tariff for Solar Energy</t>
  </si>
  <si>
    <t>Solar Energy Generated</t>
  </si>
  <si>
    <t>Imported Energy</t>
  </si>
  <si>
    <t>Exported Energy</t>
  </si>
  <si>
    <t>IR</t>
  </si>
  <si>
    <t>FR</t>
  </si>
  <si>
    <t>Const</t>
  </si>
  <si>
    <t>Consumption</t>
  </si>
  <si>
    <t>GOVT</t>
  </si>
  <si>
    <t>IPDS</t>
  </si>
  <si>
    <t>LT 2</t>
  </si>
  <si>
    <t>LT 3</t>
  </si>
  <si>
    <t>LT2</t>
  </si>
  <si>
    <t>Hommaragalli /1741</t>
  </si>
  <si>
    <t>Section Office</t>
  </si>
  <si>
    <t>MHQ-06</t>
  </si>
  <si>
    <t>HDKOTE/1714</t>
  </si>
  <si>
    <t>PUC College</t>
  </si>
  <si>
    <t>Sub-division Office</t>
  </si>
  <si>
    <t>LT3(I)</t>
  </si>
  <si>
    <t>ST Boys Hostel</t>
  </si>
  <si>
    <t>HKHDTL - 60092</t>
  </si>
  <si>
    <t>Alanahalli/ 11H5</t>
  </si>
  <si>
    <t>73KW</t>
  </si>
  <si>
    <t>HT2A(II)</t>
  </si>
  <si>
    <t>H D Kote Sub-division</t>
  </si>
  <si>
    <t>NON IPDS</t>
  </si>
  <si>
    <t>01.09.2019</t>
  </si>
  <si>
    <t>MD</t>
  </si>
  <si>
    <t>PF</t>
  </si>
  <si>
    <t>METER BURNT</t>
  </si>
  <si>
    <t>01.10.2019</t>
  </si>
  <si>
    <t>01.11.2019</t>
  </si>
  <si>
    <t>01.12.2019</t>
  </si>
  <si>
    <t>02.12.2019</t>
  </si>
  <si>
    <t>Units per day</t>
  </si>
  <si>
    <t>Remarks</t>
  </si>
  <si>
    <t>TRIPPED</t>
  </si>
  <si>
    <t>Informed to Naviya agency to replace the METER</t>
  </si>
  <si>
    <t>01.01.2020</t>
  </si>
  <si>
    <t>01.02.2020</t>
  </si>
  <si>
    <t>01.03.2020</t>
  </si>
  <si>
    <t>Date</t>
  </si>
  <si>
    <t>Diss</t>
  </si>
  <si>
    <t>MONTH: FEB-2020</t>
  </si>
  <si>
    <t>01.04.2020</t>
  </si>
  <si>
    <t>01.05.2020</t>
  </si>
  <si>
    <t>84KW</t>
  </si>
  <si>
    <t>ASST DTRECTOR, HORTICULTURE</t>
  </si>
  <si>
    <t>01.02.2021</t>
  </si>
  <si>
    <t>01.06.2020</t>
  </si>
  <si>
    <t>8KW</t>
  </si>
  <si>
    <t>01.07.2020</t>
  </si>
  <si>
    <t>01.08.2020</t>
  </si>
  <si>
    <t>01.09.2020</t>
  </si>
  <si>
    <t>01.10.2020</t>
  </si>
  <si>
    <t>kvah</t>
  </si>
  <si>
    <t>kva</t>
  </si>
  <si>
    <t>.</t>
  </si>
  <si>
    <t>01.11.2020</t>
  </si>
  <si>
    <t>Diss connected as School is under Construction</t>
  </si>
  <si>
    <t>01.12.2020</t>
  </si>
  <si>
    <t>DISS</t>
  </si>
  <si>
    <t>01.01.2021</t>
  </si>
  <si>
    <t>01.03.2021</t>
  </si>
  <si>
    <t>01.04.2021</t>
  </si>
  <si>
    <t>01.05.2021</t>
  </si>
  <si>
    <t>01.06.2021</t>
  </si>
  <si>
    <t>01.07.2021</t>
  </si>
  <si>
    <t>01.08.2021</t>
  </si>
  <si>
    <t>01.09.2021</t>
  </si>
  <si>
    <t>01.10.2021</t>
  </si>
  <si>
    <t>MONTH: OCT-2021</t>
  </si>
  <si>
    <t>01.11.2021</t>
  </si>
  <si>
    <t>DL</t>
  </si>
  <si>
    <t>01.12.2021</t>
  </si>
  <si>
    <t>01.01.2022</t>
  </si>
  <si>
    <t>01.02.2022</t>
  </si>
  <si>
    <t>01.03.2022</t>
  </si>
  <si>
    <t>01.04.2022</t>
  </si>
  <si>
    <t>01.05.2022</t>
  </si>
  <si>
    <t>01.06.2022</t>
  </si>
  <si>
    <t>01.07.2022</t>
  </si>
  <si>
    <t>01.08.2022</t>
  </si>
  <si>
    <t>01.09.2022</t>
  </si>
  <si>
    <t>01.10.2022</t>
  </si>
  <si>
    <t>01.11.2022</t>
  </si>
  <si>
    <t>01.12.2022</t>
  </si>
  <si>
    <t>01.01.2023</t>
  </si>
  <si>
    <t>01.02.2023</t>
  </si>
  <si>
    <t>01.03.2023</t>
  </si>
  <si>
    <t>NV</t>
  </si>
  <si>
    <t>01.04.2023</t>
  </si>
  <si>
    <t>01.05.2023</t>
  </si>
  <si>
    <t>01.06.2023</t>
  </si>
  <si>
    <t>Move 100kva DTC Code:- 1713AA with DTR Code:- 102912 to the Hunsur Store, as additional 4 nos of 25kva DTC is provided instead of existing 100kva TC under UNIP scheme work order no.:- M-7959</t>
  </si>
  <si>
    <t>01.07.2023</t>
  </si>
  <si>
    <t>01.08.2023</t>
  </si>
  <si>
    <t>Import</t>
  </si>
  <si>
    <t>Export</t>
  </si>
  <si>
    <t>Generation</t>
  </si>
  <si>
    <t>SECTION office cesc</t>
  </si>
  <si>
    <t>ASST DIRECTOR, HORTICULTURE</t>
  </si>
  <si>
    <t>01.09.2023</t>
  </si>
  <si>
    <t>MNR</t>
  </si>
  <si>
    <t>Meter not Shifted</t>
  </si>
  <si>
    <t>01.10.2023</t>
  </si>
  <si>
    <t>Solar reading details on 02.11.2023</t>
  </si>
  <si>
    <t>01.11.2023</t>
  </si>
  <si>
    <t>MAQ06</t>
  </si>
  <si>
    <t>O &amp; M Hampapura Section office</t>
  </si>
  <si>
    <t>KB Kashinath, Sapthagiri Farms,Alanahalli</t>
  </si>
  <si>
    <t>Total</t>
  </si>
  <si>
    <t>0.90</t>
  </si>
  <si>
    <t>01.12.2023</t>
  </si>
  <si>
    <t>Solar reading details on 01.01.2024</t>
  </si>
  <si>
    <t>MNR(24397.5)</t>
  </si>
  <si>
    <t>01.01.2024</t>
  </si>
  <si>
    <t>01.02.2024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</si>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</sst>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2"/>
      <color theme="1"/>
      <name val="Bookman Old Style"/>
      <family val="1"/>
    </font>
    <font>
      <sz val="10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6"/>
      <color theme="1"/>
      <name val="Bookman Old Style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8"/>
      <color theme="1"/>
      <name val="Bookman Old Style"/>
      <family val="1"/>
    </font>
    <font>
      <b/>
      <sz val="18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Bookman Old Style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33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4" fontId="6" fillId="0" borderId="16" xfId="0" applyNumberFormat="1" applyFont="1" applyBorder="1"/>
    <xf numFmtId="14" fontId="1" fillId="0" borderId="1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/>
    <xf numFmtId="0" fontId="1" fillId="0" borderId="17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2" borderId="1" xfId="0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0" fillId="3" borderId="0" xfId="0" applyNumberFormat="1" applyFill="1"/>
    <xf numFmtId="14" fontId="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4" fontId="20" fillId="2" borderId="0" xfId="0" applyNumberFormat="1" applyFont="1" applyFill="1" applyAlignment="1">
      <alignment horizontal="center" vertical="center"/>
    </xf>
    <xf numFmtId="0" fontId="20" fillId="0" borderId="0" xfId="0" applyFont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/>
    <xf numFmtId="0" fontId="1" fillId="2" borderId="1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quotePrefix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ownloads/Solar%20abs%202018-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-19"/>
      <sheetName val="April-18"/>
      <sheetName val="MAY-18"/>
      <sheetName val="JUNE-18"/>
      <sheetName val="JULY-18"/>
      <sheetName val="AUGUST-18"/>
      <sheetName val="SEPT18"/>
      <sheetName val="OCT-18"/>
      <sheetName val="NOV-18"/>
      <sheetName val="DEC-18"/>
      <sheetName val="JAN-19"/>
      <sheetName val="FEB-19"/>
      <sheetName val="MAR-19"/>
      <sheetName val="April-18-Mar-19"/>
      <sheetName val="Sheet1"/>
    </sheetNames>
    <sheetDataSet>
      <sheetData sheetId="0" refreshError="1"/>
      <sheetData sheetId="1" refreshError="1">
        <row r="6">
          <cell r="M6">
            <v>1</v>
          </cell>
          <cell r="U6">
            <v>1</v>
          </cell>
        </row>
        <row r="7">
          <cell r="M7">
            <v>1</v>
          </cell>
          <cell r="U7">
            <v>1</v>
          </cell>
        </row>
        <row r="8">
          <cell r="M8">
            <v>1</v>
          </cell>
          <cell r="U8">
            <v>1</v>
          </cell>
        </row>
        <row r="9">
          <cell r="M9">
            <v>1</v>
          </cell>
          <cell r="U9">
            <v>1</v>
          </cell>
        </row>
        <row r="10">
          <cell r="M10">
            <v>1</v>
          </cell>
          <cell r="U10">
            <v>1</v>
          </cell>
        </row>
        <row r="11">
          <cell r="M11">
            <v>1</v>
          </cell>
          <cell r="U11">
            <v>1</v>
          </cell>
        </row>
        <row r="12">
          <cell r="M12">
            <v>1</v>
          </cell>
          <cell r="U12">
            <v>1</v>
          </cell>
        </row>
        <row r="13">
          <cell r="M13">
            <v>1</v>
          </cell>
          <cell r="U13">
            <v>1</v>
          </cell>
        </row>
        <row r="14">
          <cell r="M14">
            <v>1</v>
          </cell>
          <cell r="U14">
            <v>1</v>
          </cell>
        </row>
        <row r="15">
          <cell r="M15">
            <v>1</v>
          </cell>
          <cell r="U15">
            <v>1</v>
          </cell>
        </row>
        <row r="16">
          <cell r="M16">
            <v>1</v>
          </cell>
          <cell r="U16">
            <v>1</v>
          </cell>
        </row>
        <row r="17">
          <cell r="M17">
            <v>1</v>
          </cell>
          <cell r="U17">
            <v>1</v>
          </cell>
        </row>
        <row r="18">
          <cell r="M18">
            <v>1</v>
          </cell>
          <cell r="U18">
            <v>1</v>
          </cell>
        </row>
        <row r="19">
          <cell r="M19">
            <v>1</v>
          </cell>
          <cell r="U19">
            <v>1</v>
          </cell>
        </row>
        <row r="20">
          <cell r="M20">
            <v>1</v>
          </cell>
          <cell r="U20">
            <v>1</v>
          </cell>
        </row>
        <row r="21">
          <cell r="M21">
            <v>1</v>
          </cell>
          <cell r="U21">
            <v>1</v>
          </cell>
        </row>
        <row r="22">
          <cell r="M22">
            <v>1</v>
          </cell>
          <cell r="U22">
            <v>1</v>
          </cell>
        </row>
        <row r="23">
          <cell r="M23">
            <v>1</v>
          </cell>
          <cell r="U23">
            <v>1</v>
          </cell>
        </row>
        <row r="24">
          <cell r="M24">
            <v>1</v>
          </cell>
          <cell r="U24">
            <v>1</v>
          </cell>
        </row>
        <row r="25">
          <cell r="M25">
            <v>1</v>
          </cell>
          <cell r="U25">
            <v>1</v>
          </cell>
        </row>
        <row r="29">
          <cell r="M29">
            <v>1</v>
          </cell>
          <cell r="U29">
            <v>1</v>
          </cell>
        </row>
        <row r="30">
          <cell r="M30">
            <v>1</v>
          </cell>
          <cell r="U30">
            <v>1</v>
          </cell>
        </row>
        <row r="31">
          <cell r="M31">
            <v>1</v>
          </cell>
          <cell r="U31">
            <v>1</v>
          </cell>
        </row>
        <row r="32">
          <cell r="M32">
            <v>1</v>
          </cell>
          <cell r="U32">
            <v>1</v>
          </cell>
        </row>
        <row r="33">
          <cell r="M33">
            <v>500</v>
          </cell>
          <cell r="U33">
            <v>500</v>
          </cell>
        </row>
        <row r="34">
          <cell r="M34">
            <v>1</v>
          </cell>
          <cell r="U34">
            <v>1</v>
          </cell>
        </row>
        <row r="35">
          <cell r="U35">
            <v>1</v>
          </cell>
        </row>
        <row r="36">
          <cell r="M36">
            <v>1</v>
          </cell>
          <cell r="U3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zoomScaleNormal="100" workbookViewId="0">
      <selection activeCell="C20" sqref="C20"/>
    </sheetView>
  </sheetViews>
  <sheetFormatPr defaultRowHeight="15" x14ac:dyDescent="0.25"/>
  <cols>
    <col min="1" max="1" width="5.85546875" customWidth="1"/>
    <col min="2" max="2" width="12.85546875" customWidth="1"/>
    <col min="3" max="3" width="26.28515625" customWidth="1"/>
    <col min="4" max="4" width="12.85546875" customWidth="1"/>
    <col min="5" max="5" width="11" customWidth="1"/>
    <col min="6" max="6" width="12.5703125" customWidth="1"/>
    <col min="7" max="7" width="8.28515625" customWidth="1"/>
    <col min="8" max="8" width="8.7109375" customWidth="1"/>
    <col min="9" max="9" width="11.42578125" customWidth="1"/>
    <col min="12" max="12" width="7.7109375" customWidth="1"/>
    <col min="13" max="13" width="17.140625" customWidth="1"/>
  </cols>
  <sheetData>
    <row r="1" spans="1:18" ht="32.25" customHeight="1" x14ac:dyDescent="0.25">
      <c r="B1" s="187" t="s">
        <v>4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2"/>
      <c r="P1" s="2"/>
      <c r="Q1" s="2"/>
      <c r="R1" s="2"/>
    </row>
    <row r="2" spans="1:18" ht="21" customHeight="1" x14ac:dyDescent="0.3">
      <c r="A2" s="188" t="s">
        <v>68</v>
      </c>
      <c r="B2" s="189"/>
      <c r="C2" s="190" t="s">
        <v>69</v>
      </c>
      <c r="D2" s="190"/>
      <c r="E2" s="188" t="s">
        <v>105</v>
      </c>
      <c r="F2" s="191"/>
      <c r="G2" s="191"/>
      <c r="H2" s="191"/>
      <c r="I2" s="191"/>
      <c r="J2" s="191"/>
      <c r="K2" s="191"/>
      <c r="L2" s="191"/>
      <c r="M2" s="189"/>
      <c r="N2" s="3"/>
    </row>
    <row r="3" spans="1:18" ht="48.75" customHeight="1" x14ac:dyDescent="0.25">
      <c r="A3" s="4" t="s">
        <v>70</v>
      </c>
      <c r="B3" s="5" t="s">
        <v>71</v>
      </c>
      <c r="C3" s="5" t="s">
        <v>72</v>
      </c>
      <c r="D3" s="4" t="s">
        <v>73</v>
      </c>
      <c r="E3" s="6" t="s">
        <v>74</v>
      </c>
      <c r="F3" s="6" t="s">
        <v>75</v>
      </c>
      <c r="G3" s="6" t="s">
        <v>76</v>
      </c>
      <c r="H3" s="6" t="s">
        <v>77</v>
      </c>
      <c r="I3" s="7" t="s">
        <v>78</v>
      </c>
      <c r="J3" s="6" t="s">
        <v>79</v>
      </c>
      <c r="K3" s="6" t="s">
        <v>80</v>
      </c>
      <c r="L3" s="6" t="s">
        <v>81</v>
      </c>
      <c r="M3" s="6" t="s">
        <v>82</v>
      </c>
    </row>
    <row r="4" spans="1:18" ht="30" x14ac:dyDescent="0.25">
      <c r="A4" s="1">
        <v>1</v>
      </c>
      <c r="B4" s="8" t="s">
        <v>83</v>
      </c>
      <c r="C4" s="9" t="s">
        <v>84</v>
      </c>
      <c r="D4" s="10" t="s">
        <v>85</v>
      </c>
      <c r="E4" s="10" t="s">
        <v>44</v>
      </c>
      <c r="F4" s="8" t="s">
        <v>86</v>
      </c>
      <c r="G4" s="8" t="s">
        <v>44</v>
      </c>
      <c r="H4" s="8" t="s">
        <v>87</v>
      </c>
      <c r="I4" s="11">
        <f>'MHQ06'!T37</f>
        <v>347.30000000000018</v>
      </c>
      <c r="J4" s="11">
        <f>'MHQ06'!I37</f>
        <v>12.100000000000023</v>
      </c>
      <c r="K4" s="11">
        <f>'MHQ06'!N37</f>
        <v>309.60000000000036</v>
      </c>
      <c r="L4" s="10">
        <f>K4-J4</f>
        <v>297.50000000000034</v>
      </c>
      <c r="M4" s="8" t="s">
        <v>88</v>
      </c>
    </row>
    <row r="5" spans="1:18" x14ac:dyDescent="0.25">
      <c r="A5" s="1">
        <v>2</v>
      </c>
      <c r="B5" s="8" t="s">
        <v>89</v>
      </c>
      <c r="C5" s="8" t="s">
        <v>90</v>
      </c>
      <c r="D5" s="10" t="s">
        <v>91</v>
      </c>
      <c r="E5" s="10" t="s">
        <v>44</v>
      </c>
      <c r="F5" s="8" t="s">
        <v>86</v>
      </c>
      <c r="G5" s="8" t="s">
        <v>44</v>
      </c>
      <c r="H5" s="8" t="s">
        <v>92</v>
      </c>
      <c r="I5" s="11">
        <f>HDTL56522!T32</f>
        <v>328.39999999999964</v>
      </c>
      <c r="J5" s="11">
        <f>HDTL56522!I32</f>
        <v>58.200000000000045</v>
      </c>
      <c r="K5" s="11">
        <f>HDTL56522!N32</f>
        <v>273.19999999999891</v>
      </c>
      <c r="L5" s="10">
        <f t="shared" ref="L5:L8" si="0">K5-J5</f>
        <v>214.99999999999886</v>
      </c>
      <c r="M5" s="8" t="s">
        <v>88</v>
      </c>
    </row>
    <row r="6" spans="1:18" x14ac:dyDescent="0.25">
      <c r="A6" s="1">
        <v>3</v>
      </c>
      <c r="B6" s="8" t="s">
        <v>89</v>
      </c>
      <c r="C6" s="8" t="s">
        <v>93</v>
      </c>
      <c r="D6" s="10" t="s">
        <v>94</v>
      </c>
      <c r="E6" s="10" t="s">
        <v>44</v>
      </c>
      <c r="F6" s="8" t="s">
        <v>86</v>
      </c>
      <c r="G6" s="8" t="s">
        <v>44</v>
      </c>
      <c r="H6" s="8" t="s">
        <v>95</v>
      </c>
      <c r="I6" s="11">
        <f>HDTL60092!T32</f>
        <v>300.09999999999854</v>
      </c>
      <c r="J6" s="11">
        <f>HDTL60092!I32</f>
        <v>531.20000000000073</v>
      </c>
      <c r="K6" s="11">
        <f>HDTL60092!N32</f>
        <v>169.59999999999945</v>
      </c>
      <c r="L6" s="10">
        <f t="shared" si="0"/>
        <v>-361.60000000000127</v>
      </c>
      <c r="M6" s="8" t="s">
        <v>88</v>
      </c>
    </row>
    <row r="7" spans="1:18" x14ac:dyDescent="0.25">
      <c r="A7" s="1">
        <v>4</v>
      </c>
      <c r="B7" s="8" t="s">
        <v>89</v>
      </c>
      <c r="C7" s="8" t="s">
        <v>96</v>
      </c>
      <c r="D7" s="10" t="s">
        <v>97</v>
      </c>
      <c r="E7" s="10" t="s">
        <v>44</v>
      </c>
      <c r="F7" s="8" t="s">
        <v>86</v>
      </c>
      <c r="G7" s="8" t="s">
        <v>44</v>
      </c>
      <c r="H7" s="8" t="s">
        <v>98</v>
      </c>
      <c r="I7" s="11">
        <f>'HKQ1'!T31</f>
        <v>172.10000000000036</v>
      </c>
      <c r="J7" s="11">
        <f>'HKQ1'!I31</f>
        <v>105.59999999999991</v>
      </c>
      <c r="K7" s="11">
        <f>'HKQ1'!N31</f>
        <v>82</v>
      </c>
      <c r="L7" s="10">
        <f t="shared" si="0"/>
        <v>-23.599999999999909</v>
      </c>
      <c r="M7" s="8" t="s">
        <v>88</v>
      </c>
    </row>
    <row r="8" spans="1:18" x14ac:dyDescent="0.25">
      <c r="A8" s="1">
        <v>5</v>
      </c>
      <c r="B8" s="8" t="s">
        <v>99</v>
      </c>
      <c r="C8" s="8" t="s">
        <v>100</v>
      </c>
      <c r="D8" s="10" t="s">
        <v>50</v>
      </c>
      <c r="E8" s="10" t="s">
        <v>58</v>
      </c>
      <c r="F8" s="8" t="s">
        <v>101</v>
      </c>
      <c r="G8" s="8" t="s">
        <v>58</v>
      </c>
      <c r="H8" s="8" t="s">
        <v>102</v>
      </c>
      <c r="I8" s="11">
        <f>HHDHT88!T36</f>
        <v>26500</v>
      </c>
      <c r="J8" s="11">
        <f>HHDHT88!I36</f>
        <v>27850.000000000004</v>
      </c>
      <c r="K8" s="11">
        <f>HHDHT88!N36</f>
        <v>26500</v>
      </c>
      <c r="L8" s="10">
        <f t="shared" si="0"/>
        <v>-1350.0000000000036</v>
      </c>
      <c r="M8" s="8">
        <v>6.41</v>
      </c>
    </row>
  </sheetData>
  <mergeCells count="4">
    <mergeCell ref="B1:N1"/>
    <mergeCell ref="A2:B2"/>
    <mergeCell ref="C2:D2"/>
    <mergeCell ref="E2:M2"/>
  </mergeCells>
  <pageMargins left="0.19685039370078741" right="0.19685039370078741" top="0.74803149606299213" bottom="0.74803149606299213" header="0.31496062992125984" footer="0.31496062992125984"/>
  <pageSetup scale="85" orientation="landscape" verticalDpi="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96"/>
  <sheetViews>
    <sheetView topLeftCell="A73" zoomScale="85" zoomScaleNormal="85" workbookViewId="0">
      <selection activeCell="B98" sqref="B98"/>
    </sheetView>
  </sheetViews>
  <sheetFormatPr defaultRowHeight="15" x14ac:dyDescent="0.25"/>
  <cols>
    <col min="1" max="1" width="7.28515625" customWidth="1"/>
    <col min="2" max="2" width="12.140625" customWidth="1"/>
    <col min="3" max="3" width="10.7109375" customWidth="1"/>
    <col min="4" max="4" width="11.28515625" customWidth="1"/>
    <col min="5" max="6" width="9.5703125" customWidth="1"/>
    <col min="7" max="7" width="7.42578125" customWidth="1"/>
    <col min="8" max="8" width="8.28515625" customWidth="1"/>
    <col min="9" max="9" width="9.140625" customWidth="1"/>
    <col min="10" max="11" width="8.5703125" customWidth="1"/>
    <col min="12" max="12" width="7.7109375" customWidth="1"/>
    <col min="13" max="13" width="8" customWidth="1"/>
    <col min="14" max="14" width="10.140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1.5703125" customWidth="1"/>
    <col min="21" max="21" width="9.42578125" customWidth="1"/>
    <col min="22" max="22" width="11.85546875" customWidth="1"/>
  </cols>
  <sheetData>
    <row r="1" spans="1:22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1:22" ht="16.5" thickBot="1" x14ac:dyDescent="0.3">
      <c r="A2" s="208" t="s">
        <v>110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2" ht="33.75" customHeight="1" x14ac:dyDescent="0.25">
      <c r="A3" s="12" t="s">
        <v>5</v>
      </c>
      <c r="B3" s="207" t="s">
        <v>57</v>
      </c>
      <c r="C3" s="207"/>
      <c r="D3" s="14" t="s">
        <v>6</v>
      </c>
      <c r="E3" s="209" t="s">
        <v>34</v>
      </c>
      <c r="F3" s="210"/>
      <c r="G3" s="210"/>
      <c r="H3" s="210"/>
      <c r="I3" s="211"/>
      <c r="J3" s="200" t="s">
        <v>7</v>
      </c>
      <c r="K3" s="200"/>
      <c r="L3" s="200"/>
      <c r="M3" s="200" t="s">
        <v>35</v>
      </c>
      <c r="N3" s="200"/>
      <c r="O3" s="212" t="s">
        <v>8</v>
      </c>
      <c r="P3" s="212"/>
      <c r="Q3" s="212"/>
      <c r="R3" s="212"/>
      <c r="S3" s="212"/>
      <c r="T3" s="212"/>
      <c r="U3" s="212"/>
      <c r="V3" s="15" t="s">
        <v>54</v>
      </c>
    </row>
    <row r="4" spans="1:22" ht="16.5" thickBot="1" x14ac:dyDescent="0.3">
      <c r="A4" s="12" t="s">
        <v>0</v>
      </c>
      <c r="B4" s="202" t="s">
        <v>63</v>
      </c>
      <c r="C4" s="202"/>
      <c r="D4" s="16" t="s">
        <v>9</v>
      </c>
      <c r="E4" s="203">
        <v>9448994816</v>
      </c>
      <c r="F4" s="203"/>
      <c r="G4" s="203"/>
      <c r="H4" s="203"/>
      <c r="I4" s="203"/>
      <c r="J4" s="204" t="s">
        <v>2</v>
      </c>
      <c r="K4" s="204"/>
      <c r="L4" s="204"/>
      <c r="M4" s="205" t="s">
        <v>33</v>
      </c>
      <c r="N4" s="205"/>
      <c r="O4" s="203" t="s">
        <v>10</v>
      </c>
      <c r="P4" s="203"/>
      <c r="Q4" s="203"/>
      <c r="R4" s="203"/>
      <c r="S4" s="203"/>
      <c r="T4" s="203"/>
      <c r="U4" s="206"/>
      <c r="V4" s="26" t="s">
        <v>54</v>
      </c>
    </row>
    <row r="5" spans="1:22" ht="15.75" x14ac:dyDescent="0.25">
      <c r="A5" s="207" t="s">
        <v>11</v>
      </c>
      <c r="B5" s="201" t="s">
        <v>1</v>
      </c>
      <c r="C5" s="201" t="s">
        <v>12</v>
      </c>
      <c r="D5" s="200" t="s">
        <v>13</v>
      </c>
      <c r="E5" s="197" t="s">
        <v>14</v>
      </c>
      <c r="F5" s="198"/>
      <c r="G5" s="198"/>
      <c r="H5" s="198"/>
      <c r="I5" s="199"/>
      <c r="J5" s="197" t="s">
        <v>15</v>
      </c>
      <c r="K5" s="198"/>
      <c r="L5" s="198"/>
      <c r="M5" s="198"/>
      <c r="N5" s="199"/>
      <c r="O5" s="200" t="s">
        <v>16</v>
      </c>
      <c r="P5" s="197" t="s">
        <v>67</v>
      </c>
      <c r="Q5" s="198"/>
      <c r="R5" s="198"/>
      <c r="S5" s="198"/>
      <c r="T5" s="199"/>
      <c r="U5" s="201" t="s">
        <v>17</v>
      </c>
      <c r="V5" s="201" t="s">
        <v>17</v>
      </c>
    </row>
    <row r="6" spans="1:22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201"/>
      <c r="V6" s="201"/>
    </row>
    <row r="7" spans="1:22" ht="15.75" x14ac:dyDescent="0.25">
      <c r="A7" s="12">
        <v>1</v>
      </c>
      <c r="B7" s="22" t="s">
        <v>116</v>
      </c>
      <c r="C7" s="193" t="s">
        <v>194</v>
      </c>
      <c r="D7" s="193" t="s">
        <v>32</v>
      </c>
      <c r="E7" s="17">
        <v>135</v>
      </c>
      <c r="F7" s="17">
        <v>123</v>
      </c>
      <c r="G7" s="17">
        <f t="shared" ref="G7:G17" si="0">E7-F7</f>
        <v>12</v>
      </c>
      <c r="H7" s="17">
        <v>1</v>
      </c>
      <c r="I7" s="17">
        <f t="shared" ref="I7:I17" si="1">G7*H7</f>
        <v>12</v>
      </c>
      <c r="J7" s="17">
        <v>54.5</v>
      </c>
      <c r="K7" s="17">
        <v>0</v>
      </c>
      <c r="L7" s="17">
        <f t="shared" ref="L7:L17" si="2">J7-K7</f>
        <v>54.5</v>
      </c>
      <c r="M7" s="17">
        <v>1</v>
      </c>
      <c r="N7" s="17">
        <f t="shared" ref="N7" si="3">L7*M7</f>
        <v>54.5</v>
      </c>
      <c r="O7" s="17">
        <f t="shared" ref="O7:O17" si="4">N7-I7</f>
        <v>42.5</v>
      </c>
      <c r="P7" s="17">
        <v>94</v>
      </c>
      <c r="Q7" s="17">
        <v>0</v>
      </c>
      <c r="R7" s="19">
        <f t="shared" ref="R7:R8" si="5">P7-Q7</f>
        <v>94</v>
      </c>
      <c r="S7" s="17">
        <v>1</v>
      </c>
      <c r="T7" s="19">
        <f t="shared" ref="T7:T8" si="6">R7*S7</f>
        <v>94</v>
      </c>
      <c r="U7" s="17"/>
      <c r="V7" s="17"/>
    </row>
    <row r="8" spans="1:22" ht="15.75" x14ac:dyDescent="0.25">
      <c r="A8" s="12">
        <v>2</v>
      </c>
      <c r="B8" s="22" t="s">
        <v>120</v>
      </c>
      <c r="C8" s="194"/>
      <c r="D8" s="194"/>
      <c r="E8" s="17">
        <v>142</v>
      </c>
      <c r="F8" s="17">
        <f t="shared" ref="F8:F17" si="7">E7</f>
        <v>135</v>
      </c>
      <c r="G8" s="17">
        <f t="shared" si="0"/>
        <v>7</v>
      </c>
      <c r="H8" s="17">
        <v>1</v>
      </c>
      <c r="I8" s="17">
        <f t="shared" si="1"/>
        <v>7</v>
      </c>
      <c r="J8" s="17">
        <v>108.5</v>
      </c>
      <c r="K8" s="17">
        <f t="shared" ref="K8:K17" si="8">J7</f>
        <v>54.5</v>
      </c>
      <c r="L8" s="17">
        <f t="shared" si="2"/>
        <v>54</v>
      </c>
      <c r="M8" s="17">
        <v>1</v>
      </c>
      <c r="N8" s="17">
        <f t="shared" ref="N8" si="9">L8*M8</f>
        <v>54</v>
      </c>
      <c r="O8" s="17">
        <f t="shared" si="4"/>
        <v>47</v>
      </c>
      <c r="P8" s="17">
        <v>190</v>
      </c>
      <c r="Q8" s="17">
        <f>P7</f>
        <v>94</v>
      </c>
      <c r="R8" s="19">
        <f t="shared" si="5"/>
        <v>96</v>
      </c>
      <c r="S8" s="17">
        <v>1</v>
      </c>
      <c r="T8" s="19">
        <f t="shared" si="6"/>
        <v>96</v>
      </c>
      <c r="U8" s="17"/>
      <c r="V8" s="17"/>
    </row>
    <row r="9" spans="1:22" ht="15.75" x14ac:dyDescent="0.25">
      <c r="A9" s="12">
        <v>3</v>
      </c>
      <c r="B9" s="22" t="s">
        <v>115</v>
      </c>
      <c r="C9" s="194"/>
      <c r="D9" s="194"/>
      <c r="E9" s="17">
        <v>148</v>
      </c>
      <c r="F9" s="17">
        <f t="shared" si="7"/>
        <v>142</v>
      </c>
      <c r="G9" s="17">
        <f t="shared" si="0"/>
        <v>6</v>
      </c>
      <c r="H9" s="17">
        <v>1</v>
      </c>
      <c r="I9" s="17">
        <f t="shared" si="1"/>
        <v>6</v>
      </c>
      <c r="J9" s="17">
        <f>274-174+92</f>
        <v>192</v>
      </c>
      <c r="K9" s="17">
        <f t="shared" si="8"/>
        <v>108.5</v>
      </c>
      <c r="L9" s="17">
        <f t="shared" si="2"/>
        <v>83.5</v>
      </c>
      <c r="M9" s="17">
        <v>1</v>
      </c>
      <c r="N9" s="17">
        <f t="shared" ref="N9:N20" si="10">L9*M9</f>
        <v>83.5</v>
      </c>
      <c r="O9" s="17">
        <f t="shared" si="4"/>
        <v>77.5</v>
      </c>
      <c r="P9" s="17">
        <f>180+113</f>
        <v>293</v>
      </c>
      <c r="Q9" s="17">
        <f>P8</f>
        <v>190</v>
      </c>
      <c r="R9" s="19">
        <f t="shared" ref="R9" si="11">P9-Q9</f>
        <v>103</v>
      </c>
      <c r="S9" s="17">
        <v>1</v>
      </c>
      <c r="T9" s="19">
        <f t="shared" ref="T9" si="12">R9*S9</f>
        <v>103</v>
      </c>
      <c r="U9" s="17"/>
      <c r="V9" s="17"/>
    </row>
    <row r="10" spans="1:22" ht="15.75" x14ac:dyDescent="0.25">
      <c r="A10" s="12">
        <v>4</v>
      </c>
      <c r="B10" s="22" t="s">
        <v>114</v>
      </c>
      <c r="C10" s="194"/>
      <c r="D10" s="194"/>
      <c r="E10" s="17">
        <v>159</v>
      </c>
      <c r="F10" s="17">
        <f t="shared" si="7"/>
        <v>148</v>
      </c>
      <c r="G10" s="17">
        <f t="shared" si="0"/>
        <v>11</v>
      </c>
      <c r="H10" s="17">
        <v>1</v>
      </c>
      <c r="I10" s="17">
        <f t="shared" si="1"/>
        <v>11</v>
      </c>
      <c r="J10" s="17">
        <f>424-150+80</f>
        <v>354</v>
      </c>
      <c r="K10" s="17">
        <f t="shared" si="8"/>
        <v>192</v>
      </c>
      <c r="L10" s="17">
        <f t="shared" si="2"/>
        <v>162</v>
      </c>
      <c r="M10" s="17">
        <v>1</v>
      </c>
      <c r="N10" s="17">
        <f t="shared" si="10"/>
        <v>162</v>
      </c>
      <c r="O10" s="17">
        <f t="shared" si="4"/>
        <v>151</v>
      </c>
      <c r="P10" s="17">
        <v>550</v>
      </c>
      <c r="Q10" s="17">
        <f t="shared" ref="Q10:Q16" si="13">P9</f>
        <v>293</v>
      </c>
      <c r="R10" s="19">
        <f t="shared" ref="R10:R16" si="14">P10-Q10</f>
        <v>257</v>
      </c>
      <c r="S10" s="17">
        <v>1</v>
      </c>
      <c r="T10" s="19">
        <f t="shared" ref="T10:T16" si="15">R10*S10</f>
        <v>257</v>
      </c>
      <c r="U10" s="17"/>
      <c r="V10" s="17"/>
    </row>
    <row r="11" spans="1:22" ht="15.75" x14ac:dyDescent="0.25">
      <c r="A11" s="12">
        <v>5</v>
      </c>
      <c r="B11" s="22" t="s">
        <v>113</v>
      </c>
      <c r="C11" s="194"/>
      <c r="D11" s="194"/>
      <c r="E11" s="17">
        <v>171</v>
      </c>
      <c r="F11" s="17">
        <f t="shared" si="7"/>
        <v>159</v>
      </c>
      <c r="G11" s="17">
        <f t="shared" si="0"/>
        <v>12</v>
      </c>
      <c r="H11" s="17">
        <v>1</v>
      </c>
      <c r="I11" s="17">
        <f t="shared" si="1"/>
        <v>12</v>
      </c>
      <c r="J11" s="17">
        <f>609-185+70</f>
        <v>494</v>
      </c>
      <c r="K11" s="17">
        <f t="shared" si="8"/>
        <v>354</v>
      </c>
      <c r="L11" s="17">
        <f t="shared" si="2"/>
        <v>140</v>
      </c>
      <c r="M11" s="17">
        <v>1</v>
      </c>
      <c r="N11" s="17">
        <f t="shared" si="10"/>
        <v>140</v>
      </c>
      <c r="O11" s="17">
        <f t="shared" si="4"/>
        <v>128</v>
      </c>
      <c r="P11" s="17">
        <v>712</v>
      </c>
      <c r="Q11" s="17">
        <f t="shared" si="13"/>
        <v>550</v>
      </c>
      <c r="R11" s="19">
        <f t="shared" si="14"/>
        <v>162</v>
      </c>
      <c r="S11" s="17">
        <v>1</v>
      </c>
      <c r="T11" s="19">
        <f t="shared" si="15"/>
        <v>162</v>
      </c>
      <c r="U11" s="17"/>
      <c r="V11" s="17"/>
    </row>
    <row r="12" spans="1:22" ht="15.75" x14ac:dyDescent="0.25">
      <c r="A12" s="12">
        <v>6</v>
      </c>
      <c r="B12" s="22" t="s">
        <v>112</v>
      </c>
      <c r="C12" s="194"/>
      <c r="D12" s="194"/>
      <c r="E12" s="17">
        <v>188</v>
      </c>
      <c r="F12" s="17">
        <f t="shared" si="7"/>
        <v>171</v>
      </c>
      <c r="G12" s="17">
        <f t="shared" si="0"/>
        <v>17</v>
      </c>
      <c r="H12" s="17">
        <v>1</v>
      </c>
      <c r="I12" s="17">
        <f t="shared" si="1"/>
        <v>17</v>
      </c>
      <c r="J12" s="17">
        <f>803-194+60</f>
        <v>669</v>
      </c>
      <c r="K12" s="17">
        <f t="shared" si="8"/>
        <v>494</v>
      </c>
      <c r="L12" s="17">
        <f t="shared" si="2"/>
        <v>175</v>
      </c>
      <c r="M12" s="17">
        <v>1</v>
      </c>
      <c r="N12" s="17">
        <f t="shared" si="10"/>
        <v>175</v>
      </c>
      <c r="O12" s="17">
        <f t="shared" si="4"/>
        <v>158</v>
      </c>
      <c r="P12" s="17">
        <v>913</v>
      </c>
      <c r="Q12" s="17">
        <f t="shared" si="13"/>
        <v>712</v>
      </c>
      <c r="R12" s="19">
        <f t="shared" si="14"/>
        <v>201</v>
      </c>
      <c r="S12" s="17">
        <v>1</v>
      </c>
      <c r="T12" s="19">
        <f t="shared" si="15"/>
        <v>201</v>
      </c>
      <c r="U12" s="17"/>
      <c r="V12" s="17"/>
    </row>
    <row r="13" spans="1:22" ht="15.75" x14ac:dyDescent="0.25">
      <c r="A13" s="12">
        <v>7</v>
      </c>
      <c r="B13" s="22" t="s">
        <v>55</v>
      </c>
      <c r="C13" s="194"/>
      <c r="D13" s="194"/>
      <c r="E13" s="17">
        <v>201</v>
      </c>
      <c r="F13" s="17">
        <f t="shared" si="7"/>
        <v>188</v>
      </c>
      <c r="G13" s="17">
        <f t="shared" si="0"/>
        <v>13</v>
      </c>
      <c r="H13" s="17">
        <v>1</v>
      </c>
      <c r="I13" s="17">
        <f t="shared" si="1"/>
        <v>13</v>
      </c>
      <c r="J13" s="17">
        <f>971-168+50</f>
        <v>853</v>
      </c>
      <c r="K13" s="17">
        <f t="shared" si="8"/>
        <v>669</v>
      </c>
      <c r="L13" s="17">
        <f t="shared" si="2"/>
        <v>184</v>
      </c>
      <c r="M13" s="17">
        <v>1</v>
      </c>
      <c r="N13" s="17">
        <f t="shared" si="10"/>
        <v>184</v>
      </c>
      <c r="O13" s="17">
        <f t="shared" si="4"/>
        <v>171</v>
      </c>
      <c r="P13" s="17">
        <v>1120</v>
      </c>
      <c r="Q13" s="17">
        <f t="shared" si="13"/>
        <v>913</v>
      </c>
      <c r="R13" s="19">
        <f t="shared" si="14"/>
        <v>207</v>
      </c>
      <c r="S13" s="17">
        <v>1</v>
      </c>
      <c r="T13" s="19">
        <f t="shared" si="15"/>
        <v>207</v>
      </c>
      <c r="U13" s="17"/>
      <c r="V13" s="17"/>
    </row>
    <row r="14" spans="1:22" ht="15.75" x14ac:dyDescent="0.25">
      <c r="A14" s="12">
        <v>8</v>
      </c>
      <c r="B14" s="22" t="s">
        <v>26</v>
      </c>
      <c r="C14" s="194"/>
      <c r="D14" s="194"/>
      <c r="E14" s="20">
        <v>213.3</v>
      </c>
      <c r="F14" s="17">
        <f t="shared" si="7"/>
        <v>201</v>
      </c>
      <c r="G14" s="17">
        <f t="shared" si="0"/>
        <v>12.300000000000011</v>
      </c>
      <c r="H14" s="17">
        <v>1</v>
      </c>
      <c r="I14" s="17">
        <f t="shared" si="1"/>
        <v>12.300000000000011</v>
      </c>
      <c r="J14" s="20">
        <f>980+40</f>
        <v>1020</v>
      </c>
      <c r="K14" s="17">
        <f t="shared" si="8"/>
        <v>853</v>
      </c>
      <c r="L14" s="17">
        <f t="shared" si="2"/>
        <v>167</v>
      </c>
      <c r="M14" s="17">
        <v>1</v>
      </c>
      <c r="N14" s="17">
        <f t="shared" si="10"/>
        <v>167</v>
      </c>
      <c r="O14" s="17">
        <f t="shared" si="4"/>
        <v>154.69999999999999</v>
      </c>
      <c r="P14" s="17">
        <v>1300</v>
      </c>
      <c r="Q14" s="17">
        <f t="shared" si="13"/>
        <v>1120</v>
      </c>
      <c r="R14" s="19">
        <f t="shared" si="14"/>
        <v>180</v>
      </c>
      <c r="S14" s="17">
        <v>1</v>
      </c>
      <c r="T14" s="19">
        <f t="shared" si="15"/>
        <v>180</v>
      </c>
      <c r="U14" s="17"/>
      <c r="V14" s="17"/>
    </row>
    <row r="15" spans="1:22" ht="15.75" x14ac:dyDescent="0.25">
      <c r="A15" s="12">
        <v>9</v>
      </c>
      <c r="B15" s="22" t="s">
        <v>27</v>
      </c>
      <c r="C15" s="194"/>
      <c r="D15" s="194"/>
      <c r="E15" s="20">
        <v>226.5</v>
      </c>
      <c r="F15" s="17">
        <f t="shared" si="7"/>
        <v>213.3</v>
      </c>
      <c r="G15" s="17">
        <f t="shared" si="0"/>
        <v>13.199999999999989</v>
      </c>
      <c r="H15" s="17">
        <v>1</v>
      </c>
      <c r="I15" s="17">
        <f t="shared" si="1"/>
        <v>13.199999999999989</v>
      </c>
      <c r="J15" s="20">
        <f>1304-133+30</f>
        <v>1201</v>
      </c>
      <c r="K15" s="17">
        <f t="shared" si="8"/>
        <v>1020</v>
      </c>
      <c r="L15" s="17">
        <f t="shared" si="2"/>
        <v>181</v>
      </c>
      <c r="M15" s="17">
        <v>1</v>
      </c>
      <c r="N15" s="17">
        <f t="shared" si="10"/>
        <v>181</v>
      </c>
      <c r="O15" s="17">
        <f t="shared" si="4"/>
        <v>167.8</v>
      </c>
      <c r="P15" s="17">
        <v>1502</v>
      </c>
      <c r="Q15" s="17">
        <f t="shared" si="13"/>
        <v>1300</v>
      </c>
      <c r="R15" s="19">
        <f t="shared" si="14"/>
        <v>202</v>
      </c>
      <c r="S15" s="17">
        <v>1</v>
      </c>
      <c r="T15" s="19">
        <f t="shared" si="15"/>
        <v>202</v>
      </c>
      <c r="U15" s="17"/>
      <c r="V15" s="17"/>
    </row>
    <row r="16" spans="1:22" ht="15.75" x14ac:dyDescent="0.25">
      <c r="A16" s="12">
        <v>10</v>
      </c>
      <c r="B16" s="22" t="s">
        <v>28</v>
      </c>
      <c r="C16" s="194"/>
      <c r="D16" s="194"/>
      <c r="E16" s="20">
        <v>238.5</v>
      </c>
      <c r="F16" s="17">
        <f t="shared" si="7"/>
        <v>226.5</v>
      </c>
      <c r="G16" s="17">
        <f t="shared" si="0"/>
        <v>12</v>
      </c>
      <c r="H16" s="17">
        <v>1</v>
      </c>
      <c r="I16" s="17">
        <f t="shared" si="1"/>
        <v>12</v>
      </c>
      <c r="J16" s="20">
        <f>1304+10</f>
        <v>1314</v>
      </c>
      <c r="K16" s="17">
        <f t="shared" si="8"/>
        <v>1201</v>
      </c>
      <c r="L16" s="17">
        <f t="shared" si="2"/>
        <v>113</v>
      </c>
      <c r="M16" s="17">
        <v>1</v>
      </c>
      <c r="N16" s="17">
        <f t="shared" si="10"/>
        <v>113</v>
      </c>
      <c r="O16" s="17">
        <f t="shared" si="4"/>
        <v>101</v>
      </c>
      <c r="P16" s="17">
        <v>1650</v>
      </c>
      <c r="Q16" s="17">
        <f t="shared" si="13"/>
        <v>1502</v>
      </c>
      <c r="R16" s="19">
        <f t="shared" si="14"/>
        <v>148</v>
      </c>
      <c r="S16" s="17">
        <v>1</v>
      </c>
      <c r="T16" s="19">
        <f t="shared" si="15"/>
        <v>148</v>
      </c>
      <c r="U16" s="17"/>
      <c r="V16" s="17"/>
    </row>
    <row r="17" spans="1:22" ht="15.75" x14ac:dyDescent="0.25">
      <c r="A17" s="12">
        <v>11</v>
      </c>
      <c r="B17" s="22" t="s">
        <v>29</v>
      </c>
      <c r="C17" s="195"/>
      <c r="D17" s="195"/>
      <c r="E17" s="20">
        <v>249.9</v>
      </c>
      <c r="F17" s="17">
        <f t="shared" si="7"/>
        <v>238.5</v>
      </c>
      <c r="G17" s="17">
        <f t="shared" si="0"/>
        <v>11.400000000000006</v>
      </c>
      <c r="H17" s="17">
        <v>1</v>
      </c>
      <c r="I17" s="17">
        <f t="shared" si="1"/>
        <v>11.400000000000006</v>
      </c>
      <c r="J17" s="20">
        <v>1366.3</v>
      </c>
      <c r="K17" s="17">
        <f t="shared" si="8"/>
        <v>1314</v>
      </c>
      <c r="L17" s="17">
        <f t="shared" si="2"/>
        <v>52.299999999999955</v>
      </c>
      <c r="M17" s="17">
        <v>1</v>
      </c>
      <c r="N17" s="17">
        <f t="shared" si="10"/>
        <v>52.299999999999955</v>
      </c>
      <c r="O17" s="17">
        <f t="shared" si="4"/>
        <v>40.899999999999949</v>
      </c>
      <c r="P17" s="17">
        <v>1715.6</v>
      </c>
      <c r="Q17" s="17">
        <f t="shared" ref="Q17:Q23" si="16">P16</f>
        <v>1650</v>
      </c>
      <c r="R17" s="19">
        <f t="shared" ref="R17:R23" si="17">P17-Q17</f>
        <v>65.599999999999909</v>
      </c>
      <c r="S17" s="17">
        <v>1</v>
      </c>
      <c r="T17" s="19">
        <f t="shared" ref="T17:T23" si="18">R17*S17</f>
        <v>65.599999999999909</v>
      </c>
      <c r="U17" s="17"/>
      <c r="V17" s="17"/>
    </row>
    <row r="18" spans="1:22" ht="15.75" x14ac:dyDescent="0.25">
      <c r="A18" s="12"/>
      <c r="B18" s="22" t="s">
        <v>121</v>
      </c>
      <c r="C18" s="19"/>
      <c r="D18" s="19"/>
      <c r="E18" s="20"/>
      <c r="F18" s="17"/>
      <c r="G18" s="17"/>
      <c r="H18" s="17"/>
      <c r="I18" s="17">
        <f>SUM(I7:I17)</f>
        <v>126.9</v>
      </c>
      <c r="J18" s="20"/>
      <c r="K18" s="17"/>
      <c r="L18" s="17"/>
      <c r="M18" s="17"/>
      <c r="N18" s="17">
        <f>SUM(N7:N17)</f>
        <v>1366.3</v>
      </c>
      <c r="O18" s="17">
        <f>SUM(O7:O17)</f>
        <v>1239.3999999999999</v>
      </c>
      <c r="P18" s="17"/>
      <c r="Q18" s="17"/>
      <c r="R18" s="19"/>
      <c r="S18" s="17"/>
      <c r="T18" s="17">
        <f>SUM(T7:T17)</f>
        <v>1715.6</v>
      </c>
      <c r="U18" s="17"/>
      <c r="V18" s="17"/>
    </row>
    <row r="19" spans="1:22" ht="15.75" x14ac:dyDescent="0.25">
      <c r="A19" s="12"/>
      <c r="B19" s="22"/>
      <c r="C19" s="19"/>
      <c r="D19" s="19"/>
      <c r="E19" s="20"/>
      <c r="F19" s="17"/>
      <c r="G19" s="17"/>
      <c r="H19" s="17"/>
      <c r="I19" s="17"/>
      <c r="J19" s="20"/>
      <c r="K19" s="17"/>
      <c r="L19" s="17"/>
      <c r="M19" s="17"/>
      <c r="N19" s="17"/>
      <c r="O19" s="17"/>
      <c r="P19" s="17"/>
      <c r="Q19" s="17"/>
      <c r="R19" s="19"/>
      <c r="S19" s="17"/>
      <c r="T19" s="19"/>
      <c r="U19" s="17"/>
      <c r="V19" s="17"/>
    </row>
    <row r="20" spans="1:22" ht="15.75" x14ac:dyDescent="0.25">
      <c r="A20" s="12">
        <v>12</v>
      </c>
      <c r="B20" s="22" t="s">
        <v>30</v>
      </c>
      <c r="C20" s="193" t="s">
        <v>194</v>
      </c>
      <c r="D20" s="193" t="s">
        <v>32</v>
      </c>
      <c r="E20" s="21">
        <v>265.8</v>
      </c>
      <c r="F20" s="17">
        <f>E17</f>
        <v>249.9</v>
      </c>
      <c r="G20" s="17">
        <f t="shared" ref="G20:G29" si="19">E20-F20</f>
        <v>15.900000000000006</v>
      </c>
      <c r="H20" s="17">
        <v>1</v>
      </c>
      <c r="I20" s="17">
        <f t="shared" ref="I20:I30" si="20">G20*H20</f>
        <v>15.900000000000006</v>
      </c>
      <c r="J20" s="21">
        <v>1366.3</v>
      </c>
      <c r="K20" s="17">
        <f>J17</f>
        <v>1366.3</v>
      </c>
      <c r="L20" s="17">
        <f t="shared" ref="L20:L29" si="21">J20-K20</f>
        <v>0</v>
      </c>
      <c r="M20" s="17">
        <v>1</v>
      </c>
      <c r="N20" s="17">
        <f t="shared" si="10"/>
        <v>0</v>
      </c>
      <c r="O20" s="17">
        <f t="shared" ref="O20:O29" si="22">N20-I20</f>
        <v>-15.900000000000006</v>
      </c>
      <c r="P20" s="17">
        <v>1715.6</v>
      </c>
      <c r="Q20" s="17">
        <f>P17</f>
        <v>1715.6</v>
      </c>
      <c r="R20" s="19">
        <f t="shared" si="17"/>
        <v>0</v>
      </c>
      <c r="S20" s="17">
        <v>1</v>
      </c>
      <c r="T20" s="19">
        <f t="shared" si="18"/>
        <v>0</v>
      </c>
      <c r="U20" s="17"/>
      <c r="V20" s="17"/>
    </row>
    <row r="21" spans="1:22" ht="15.75" x14ac:dyDescent="0.25">
      <c r="A21" s="12">
        <v>13</v>
      </c>
      <c r="B21" s="22" t="s">
        <v>31</v>
      </c>
      <c r="C21" s="194"/>
      <c r="D21" s="194"/>
      <c r="E21" s="21">
        <v>278.10000000000002</v>
      </c>
      <c r="F21" s="17">
        <f t="shared" ref="F21:F30" si="23">E20</f>
        <v>265.8</v>
      </c>
      <c r="G21" s="17">
        <f t="shared" si="19"/>
        <v>12.300000000000011</v>
      </c>
      <c r="H21" s="17">
        <v>1</v>
      </c>
      <c r="I21" s="17">
        <f t="shared" si="20"/>
        <v>12.300000000000011</v>
      </c>
      <c r="J21" s="21">
        <v>1366.3</v>
      </c>
      <c r="K21" s="17">
        <f t="shared" ref="K21:K30" si="24">J20</f>
        <v>1366.3</v>
      </c>
      <c r="L21" s="17">
        <f t="shared" si="21"/>
        <v>0</v>
      </c>
      <c r="M21" s="17">
        <v>1</v>
      </c>
      <c r="N21" s="17">
        <f t="shared" ref="N21" si="25">L21*M21</f>
        <v>0</v>
      </c>
      <c r="O21" s="17">
        <f t="shared" si="22"/>
        <v>-12.300000000000011</v>
      </c>
      <c r="P21" s="17">
        <v>1719.2</v>
      </c>
      <c r="Q21" s="17">
        <f t="shared" si="16"/>
        <v>1715.6</v>
      </c>
      <c r="R21" s="19">
        <f t="shared" si="17"/>
        <v>3.6000000000001364</v>
      </c>
      <c r="S21" s="17">
        <v>1</v>
      </c>
      <c r="T21" s="19">
        <f t="shared" si="18"/>
        <v>3.6000000000001364</v>
      </c>
      <c r="U21" s="19"/>
      <c r="V21" s="19"/>
    </row>
    <row r="22" spans="1:22" ht="15.75" x14ac:dyDescent="0.25">
      <c r="A22" s="12">
        <v>14</v>
      </c>
      <c r="B22" s="22" t="s">
        <v>56</v>
      </c>
      <c r="C22" s="194"/>
      <c r="D22" s="194"/>
      <c r="E22" s="12">
        <v>310.7</v>
      </c>
      <c r="F22" s="17">
        <f t="shared" si="23"/>
        <v>278.10000000000002</v>
      </c>
      <c r="G22" s="17">
        <f t="shared" si="19"/>
        <v>32.599999999999966</v>
      </c>
      <c r="H22" s="17">
        <v>1</v>
      </c>
      <c r="I22" s="17">
        <f t="shared" si="20"/>
        <v>32.599999999999966</v>
      </c>
      <c r="J22" s="12">
        <v>1579.8</v>
      </c>
      <c r="K22" s="17">
        <f t="shared" si="24"/>
        <v>1366.3</v>
      </c>
      <c r="L22" s="17">
        <f t="shared" si="21"/>
        <v>213.5</v>
      </c>
      <c r="M22" s="17">
        <v>1</v>
      </c>
      <c r="N22" s="17">
        <f t="shared" ref="N22" si="26">L22*M22</f>
        <v>213.5</v>
      </c>
      <c r="O22" s="17">
        <f t="shared" si="22"/>
        <v>180.90000000000003</v>
      </c>
      <c r="P22" s="12">
        <v>1975.3</v>
      </c>
      <c r="Q22" s="17">
        <f>P21</f>
        <v>1719.2</v>
      </c>
      <c r="R22" s="19">
        <f t="shared" si="17"/>
        <v>256.09999999999991</v>
      </c>
      <c r="S22" s="17">
        <v>1</v>
      </c>
      <c r="T22" s="19">
        <f t="shared" si="18"/>
        <v>256.09999999999991</v>
      </c>
      <c r="U22" s="19"/>
      <c r="V22" s="19"/>
    </row>
    <row r="23" spans="1:22" ht="15.75" x14ac:dyDescent="0.25">
      <c r="A23" s="12">
        <v>15</v>
      </c>
      <c r="B23" s="22" t="s">
        <v>64</v>
      </c>
      <c r="C23" s="194"/>
      <c r="D23" s="194"/>
      <c r="E23" s="12">
        <v>345.7</v>
      </c>
      <c r="F23" s="17">
        <f t="shared" si="23"/>
        <v>310.7</v>
      </c>
      <c r="G23" s="17">
        <f t="shared" si="19"/>
        <v>35</v>
      </c>
      <c r="H23" s="17">
        <v>1</v>
      </c>
      <c r="I23" s="17">
        <f t="shared" si="20"/>
        <v>35</v>
      </c>
      <c r="J23" s="12">
        <v>1763.3</v>
      </c>
      <c r="K23" s="17">
        <f t="shared" si="24"/>
        <v>1579.8</v>
      </c>
      <c r="L23" s="17">
        <f t="shared" si="21"/>
        <v>183.5</v>
      </c>
      <c r="M23" s="17">
        <v>1</v>
      </c>
      <c r="N23" s="17">
        <f t="shared" ref="N23" si="27">L23*M23</f>
        <v>183.5</v>
      </c>
      <c r="O23" s="17">
        <f t="shared" si="22"/>
        <v>148.5</v>
      </c>
      <c r="P23" s="12">
        <v>2196.6999999999998</v>
      </c>
      <c r="Q23" s="17">
        <f t="shared" si="16"/>
        <v>1975.3</v>
      </c>
      <c r="R23" s="19">
        <f t="shared" si="17"/>
        <v>221.39999999999986</v>
      </c>
      <c r="S23" s="17">
        <v>1</v>
      </c>
      <c r="T23" s="19">
        <f t="shared" si="18"/>
        <v>221.39999999999986</v>
      </c>
      <c r="U23" s="19"/>
      <c r="V23" s="19"/>
    </row>
    <row r="24" spans="1:22" ht="15.75" x14ac:dyDescent="0.25">
      <c r="A24" s="12">
        <v>16</v>
      </c>
      <c r="B24" s="22" t="s">
        <v>103</v>
      </c>
      <c r="C24" s="194"/>
      <c r="D24" s="194"/>
      <c r="E24" s="12">
        <v>365.5</v>
      </c>
      <c r="F24" s="17">
        <f t="shared" si="23"/>
        <v>345.7</v>
      </c>
      <c r="G24" s="17">
        <f t="shared" si="19"/>
        <v>19.800000000000011</v>
      </c>
      <c r="H24" s="17">
        <v>1</v>
      </c>
      <c r="I24" s="17">
        <f t="shared" si="20"/>
        <v>19.800000000000011</v>
      </c>
      <c r="J24" s="12">
        <v>2018.3</v>
      </c>
      <c r="K24" s="17">
        <f t="shared" si="24"/>
        <v>1763.3</v>
      </c>
      <c r="L24" s="17">
        <f t="shared" si="21"/>
        <v>255</v>
      </c>
      <c r="M24" s="17">
        <v>1</v>
      </c>
      <c r="N24" s="17">
        <f t="shared" ref="N24" si="28">L24*M24</f>
        <v>255</v>
      </c>
      <c r="O24" s="17">
        <f t="shared" si="22"/>
        <v>235.2</v>
      </c>
      <c r="P24" s="12">
        <v>2456.5</v>
      </c>
      <c r="Q24" s="17">
        <f t="shared" ref="Q24" si="29">P23</f>
        <v>2196.6999999999998</v>
      </c>
      <c r="R24" s="19">
        <f t="shared" ref="R24" si="30">P24-Q24</f>
        <v>259.80000000000018</v>
      </c>
      <c r="S24" s="17">
        <v>1</v>
      </c>
      <c r="T24" s="19">
        <f t="shared" ref="T24" si="31">R24*S24</f>
        <v>259.80000000000018</v>
      </c>
      <c r="U24" s="19"/>
      <c r="V24" s="19"/>
    </row>
    <row r="25" spans="1:22" ht="15.75" x14ac:dyDescent="0.25">
      <c r="A25" s="12">
        <v>17</v>
      </c>
      <c r="B25" s="22" t="s">
        <v>104</v>
      </c>
      <c r="C25" s="194"/>
      <c r="D25" s="194"/>
      <c r="E25" s="12">
        <v>380.1</v>
      </c>
      <c r="F25" s="17">
        <f t="shared" si="23"/>
        <v>365.5</v>
      </c>
      <c r="G25" s="17">
        <f t="shared" si="19"/>
        <v>14.600000000000023</v>
      </c>
      <c r="H25" s="17">
        <v>1</v>
      </c>
      <c r="I25" s="17">
        <f t="shared" si="20"/>
        <v>14.600000000000023</v>
      </c>
      <c r="J25" s="12">
        <v>2316.3000000000002</v>
      </c>
      <c r="K25" s="17">
        <f t="shared" si="24"/>
        <v>2018.3</v>
      </c>
      <c r="L25" s="17">
        <f t="shared" si="21"/>
        <v>298.00000000000023</v>
      </c>
      <c r="M25" s="17">
        <v>1</v>
      </c>
      <c r="N25" s="17">
        <f t="shared" ref="N25" si="32">L25*M25</f>
        <v>298.00000000000023</v>
      </c>
      <c r="O25" s="17">
        <f t="shared" si="22"/>
        <v>283.4000000000002</v>
      </c>
      <c r="P25" s="12">
        <v>2757.3</v>
      </c>
      <c r="Q25" s="17">
        <f t="shared" ref="Q25:Q30" si="33">P24</f>
        <v>2456.5</v>
      </c>
      <c r="R25" s="19">
        <f t="shared" ref="R25" si="34">P25-Q25</f>
        <v>300.80000000000018</v>
      </c>
      <c r="S25" s="17">
        <v>1</v>
      </c>
      <c r="T25" s="19">
        <f t="shared" ref="T25" si="35">R25*S25</f>
        <v>300.80000000000018</v>
      </c>
      <c r="U25" s="19"/>
      <c r="V25" s="19"/>
    </row>
    <row r="26" spans="1:22" ht="15.75" x14ac:dyDescent="0.25">
      <c r="A26" s="12">
        <v>18</v>
      </c>
      <c r="B26" s="22" t="s">
        <v>106</v>
      </c>
      <c r="C26" s="194"/>
      <c r="D26" s="194"/>
      <c r="E26" s="12">
        <v>396</v>
      </c>
      <c r="F26" s="17">
        <f t="shared" si="23"/>
        <v>380.1</v>
      </c>
      <c r="G26" s="17">
        <f t="shared" si="19"/>
        <v>15.899999999999977</v>
      </c>
      <c r="H26" s="17">
        <v>1</v>
      </c>
      <c r="I26" s="17">
        <f t="shared" si="20"/>
        <v>15.899999999999977</v>
      </c>
      <c r="J26" s="12">
        <v>2629.1</v>
      </c>
      <c r="K26" s="17">
        <f t="shared" si="24"/>
        <v>2316.3000000000002</v>
      </c>
      <c r="L26" s="17">
        <f t="shared" si="21"/>
        <v>312.79999999999973</v>
      </c>
      <c r="M26" s="17">
        <v>1</v>
      </c>
      <c r="N26" s="17">
        <f t="shared" ref="N26" si="36">L26*M26</f>
        <v>312.79999999999973</v>
      </c>
      <c r="O26" s="17">
        <f t="shared" si="22"/>
        <v>296.89999999999975</v>
      </c>
      <c r="P26" s="12">
        <v>3072.6</v>
      </c>
      <c r="Q26" s="17">
        <f t="shared" si="33"/>
        <v>2757.3</v>
      </c>
      <c r="R26" s="19">
        <f t="shared" ref="R26" si="37">P26-Q26</f>
        <v>315.29999999999973</v>
      </c>
      <c r="S26" s="17">
        <v>1</v>
      </c>
      <c r="T26" s="19">
        <f t="shared" ref="T26" si="38">R26*S26</f>
        <v>315.29999999999973</v>
      </c>
      <c r="U26" s="19"/>
      <c r="V26" s="19"/>
    </row>
    <row r="27" spans="1:22" ht="15.75" x14ac:dyDescent="0.25">
      <c r="A27" s="12">
        <v>19</v>
      </c>
      <c r="B27" s="22" t="s">
        <v>107</v>
      </c>
      <c r="C27" s="194"/>
      <c r="D27" s="194"/>
      <c r="E27" s="12">
        <v>408.6</v>
      </c>
      <c r="F27" s="17">
        <f t="shared" si="23"/>
        <v>396</v>
      </c>
      <c r="G27" s="17">
        <f t="shared" si="19"/>
        <v>12.600000000000023</v>
      </c>
      <c r="H27" s="17">
        <v>1</v>
      </c>
      <c r="I27" s="17">
        <f t="shared" si="20"/>
        <v>12.600000000000023</v>
      </c>
      <c r="J27" s="12">
        <v>2906</v>
      </c>
      <c r="K27" s="17">
        <f t="shared" si="24"/>
        <v>2629.1</v>
      </c>
      <c r="L27" s="17">
        <f t="shared" si="21"/>
        <v>276.90000000000009</v>
      </c>
      <c r="M27" s="17">
        <v>1</v>
      </c>
      <c r="N27" s="17">
        <f t="shared" ref="N27" si="39">L27*M27</f>
        <v>276.90000000000009</v>
      </c>
      <c r="O27" s="17">
        <f t="shared" si="22"/>
        <v>264.30000000000007</v>
      </c>
      <c r="P27" s="12">
        <v>3350</v>
      </c>
      <c r="Q27" s="17">
        <f t="shared" si="33"/>
        <v>3072.6</v>
      </c>
      <c r="R27" s="19">
        <f t="shared" ref="R27" si="40">P27-Q27</f>
        <v>277.40000000000009</v>
      </c>
      <c r="S27" s="17">
        <v>1</v>
      </c>
      <c r="T27" s="19">
        <f t="shared" ref="T27" si="41">R27*S27</f>
        <v>277.40000000000009</v>
      </c>
      <c r="U27" s="19"/>
      <c r="V27" s="19"/>
    </row>
    <row r="28" spans="1:22" ht="15.75" x14ac:dyDescent="0.25">
      <c r="A28" s="12">
        <v>20</v>
      </c>
      <c r="B28" s="22" t="s">
        <v>108</v>
      </c>
      <c r="C28" s="194"/>
      <c r="D28" s="194"/>
      <c r="E28" s="23">
        <v>464.6</v>
      </c>
      <c r="F28" s="17">
        <f t="shared" si="23"/>
        <v>408.6</v>
      </c>
      <c r="G28" s="17">
        <f t="shared" si="19"/>
        <v>56</v>
      </c>
      <c r="H28" s="17">
        <v>1</v>
      </c>
      <c r="I28" s="17">
        <f t="shared" si="20"/>
        <v>56</v>
      </c>
      <c r="J28" s="23">
        <f>3095.7-50</f>
        <v>3045.7</v>
      </c>
      <c r="K28" s="17">
        <f t="shared" si="24"/>
        <v>2906</v>
      </c>
      <c r="L28" s="17">
        <f t="shared" si="21"/>
        <v>139.69999999999982</v>
      </c>
      <c r="M28" s="17">
        <v>1</v>
      </c>
      <c r="N28" s="17">
        <f t="shared" ref="N28" si="42">L28*M28</f>
        <v>139.69999999999982</v>
      </c>
      <c r="O28" s="17">
        <f t="shared" si="22"/>
        <v>83.699999999999818</v>
      </c>
      <c r="P28" s="12">
        <f>3540-50</f>
        <v>3490</v>
      </c>
      <c r="Q28" s="17">
        <f t="shared" si="33"/>
        <v>3350</v>
      </c>
      <c r="R28" s="19">
        <f t="shared" ref="R28" si="43">P28-Q28</f>
        <v>140</v>
      </c>
      <c r="S28" s="17">
        <v>1</v>
      </c>
      <c r="T28" s="19">
        <f t="shared" ref="T28" si="44">R28*S28</f>
        <v>140</v>
      </c>
      <c r="U28" s="19"/>
      <c r="V28" s="19"/>
    </row>
    <row r="29" spans="1:22" ht="15.75" x14ac:dyDescent="0.25">
      <c r="A29" s="12">
        <v>21</v>
      </c>
      <c r="B29" s="22" t="s">
        <v>109</v>
      </c>
      <c r="C29" s="194"/>
      <c r="D29" s="194"/>
      <c r="E29" s="12">
        <v>544.1</v>
      </c>
      <c r="F29" s="17">
        <f t="shared" si="23"/>
        <v>464.6</v>
      </c>
      <c r="G29" s="17">
        <f t="shared" si="19"/>
        <v>79.5</v>
      </c>
      <c r="H29" s="17">
        <v>1</v>
      </c>
      <c r="I29" s="17">
        <f t="shared" si="20"/>
        <v>79.5</v>
      </c>
      <c r="J29" s="12">
        <f>3279.1-110</f>
        <v>3169.1</v>
      </c>
      <c r="K29" s="17">
        <f t="shared" si="24"/>
        <v>3045.7</v>
      </c>
      <c r="L29" s="17">
        <f t="shared" si="21"/>
        <v>123.40000000000009</v>
      </c>
      <c r="M29" s="17">
        <v>1</v>
      </c>
      <c r="N29" s="17">
        <f t="shared" ref="N29" si="45">L29*M29</f>
        <v>123.40000000000009</v>
      </c>
      <c r="O29" s="17">
        <f t="shared" si="22"/>
        <v>43.900000000000091</v>
      </c>
      <c r="P29" s="12">
        <f>3724.6-110</f>
        <v>3614.6</v>
      </c>
      <c r="Q29" s="17">
        <f t="shared" si="33"/>
        <v>3490</v>
      </c>
      <c r="R29" s="19">
        <f>P29-Q29</f>
        <v>124.59999999999991</v>
      </c>
      <c r="S29" s="17">
        <v>1</v>
      </c>
      <c r="T29" s="19">
        <f t="shared" ref="T29" si="46">R29*S29</f>
        <v>124.59999999999991</v>
      </c>
      <c r="U29" s="19"/>
      <c r="V29" s="19"/>
    </row>
    <row r="30" spans="1:22" ht="15.75" x14ac:dyDescent="0.25">
      <c r="A30" s="12">
        <v>22</v>
      </c>
      <c r="B30" s="22" t="s">
        <v>111</v>
      </c>
      <c r="C30" s="194"/>
      <c r="D30" s="194"/>
      <c r="E30" s="12">
        <v>574.70000000000005</v>
      </c>
      <c r="F30" s="17">
        <f t="shared" si="23"/>
        <v>544.1</v>
      </c>
      <c r="G30" s="17">
        <f t="shared" ref="G30" si="47">E30-F30</f>
        <v>30.600000000000023</v>
      </c>
      <c r="H30" s="17">
        <v>1</v>
      </c>
      <c r="I30" s="17">
        <f t="shared" si="20"/>
        <v>30.600000000000023</v>
      </c>
      <c r="J30" s="12">
        <v>3334.9</v>
      </c>
      <c r="K30" s="17">
        <f t="shared" si="24"/>
        <v>3169.1</v>
      </c>
      <c r="L30" s="17">
        <f t="shared" ref="L30" si="48">J30-K30</f>
        <v>165.80000000000018</v>
      </c>
      <c r="M30" s="17">
        <v>1</v>
      </c>
      <c r="N30" s="17">
        <f t="shared" ref="N30" si="49">L30*M30</f>
        <v>165.80000000000018</v>
      </c>
      <c r="O30" s="17">
        <f t="shared" ref="O30" si="50">N30-I30</f>
        <v>135.20000000000016</v>
      </c>
      <c r="P30" s="12">
        <v>3795</v>
      </c>
      <c r="Q30" s="17">
        <f t="shared" si="33"/>
        <v>3614.6</v>
      </c>
      <c r="R30" s="19">
        <f>P30-Q30</f>
        <v>180.40000000000009</v>
      </c>
      <c r="S30" s="17">
        <v>1</v>
      </c>
      <c r="T30" s="19">
        <f t="shared" ref="T30" si="51">R30*S30</f>
        <v>180.40000000000009</v>
      </c>
      <c r="U30" s="19"/>
      <c r="V30" s="19"/>
    </row>
    <row r="31" spans="1:22" ht="15.75" x14ac:dyDescent="0.25">
      <c r="A31" s="12">
        <v>23</v>
      </c>
      <c r="B31" s="22" t="s">
        <v>117</v>
      </c>
      <c r="C31" s="195"/>
      <c r="D31" s="195"/>
      <c r="E31" s="12">
        <v>613.1</v>
      </c>
      <c r="F31" s="17">
        <f t="shared" ref="F31" si="52">E30</f>
        <v>574.70000000000005</v>
      </c>
      <c r="G31" s="17">
        <f t="shared" ref="G31:G34" si="53">E31-F31</f>
        <v>38.399999999999977</v>
      </c>
      <c r="H31" s="17">
        <v>1</v>
      </c>
      <c r="I31" s="17">
        <f t="shared" ref="I31:I34" si="54">G31*H31</f>
        <v>38.399999999999977</v>
      </c>
      <c r="J31" s="12">
        <v>3788.2</v>
      </c>
      <c r="K31" s="17">
        <f t="shared" ref="K31" si="55">J30</f>
        <v>3334.9</v>
      </c>
      <c r="L31" s="17">
        <f t="shared" ref="L31:L34" si="56">J31-K31</f>
        <v>453.29999999999973</v>
      </c>
      <c r="M31" s="17">
        <v>1</v>
      </c>
      <c r="N31" s="17">
        <f t="shared" ref="N31:N34" si="57">L31*M31</f>
        <v>453.29999999999973</v>
      </c>
      <c r="O31" s="17">
        <f t="shared" ref="O31:O38" si="58">N31-I31</f>
        <v>414.89999999999975</v>
      </c>
      <c r="P31" s="12">
        <v>4252.3999999999996</v>
      </c>
      <c r="Q31" s="17">
        <f t="shared" ref="Q31" si="59">P30</f>
        <v>3795</v>
      </c>
      <c r="R31" s="19">
        <f>P31-Q31</f>
        <v>457.39999999999964</v>
      </c>
      <c r="S31" s="17">
        <v>1</v>
      </c>
      <c r="T31" s="19">
        <f t="shared" ref="T31:T34" si="60">R31*S31</f>
        <v>457.39999999999964</v>
      </c>
      <c r="U31" s="19"/>
      <c r="V31" s="19"/>
    </row>
    <row r="32" spans="1:22" ht="15.75" x14ac:dyDescent="0.25">
      <c r="A32" s="12"/>
      <c r="B32" s="22" t="s">
        <v>121</v>
      </c>
      <c r="C32" s="19"/>
      <c r="D32" s="19"/>
      <c r="E32" s="12"/>
      <c r="F32" s="17"/>
      <c r="G32" s="17"/>
      <c r="H32" s="17"/>
      <c r="I32" s="17">
        <f>SUM(I20:I31)</f>
        <v>363.20000000000005</v>
      </c>
      <c r="J32" s="12"/>
      <c r="K32" s="17"/>
      <c r="L32" s="17"/>
      <c r="M32" s="17"/>
      <c r="N32" s="17">
        <f t="shared" ref="N32:O32" si="61">SUM(N20:N31)</f>
        <v>2421.8999999999996</v>
      </c>
      <c r="O32" s="17">
        <f t="shared" si="61"/>
        <v>2058.6999999999998</v>
      </c>
      <c r="P32" s="12"/>
      <c r="Q32" s="17"/>
      <c r="R32" s="19"/>
      <c r="S32" s="17"/>
      <c r="T32" s="17">
        <f>SUM(T20:T31)</f>
        <v>2536.7999999999997</v>
      </c>
      <c r="U32" s="24"/>
      <c r="V32" s="24"/>
    </row>
    <row r="33" spans="1:23" ht="15.75" x14ac:dyDescent="0.25">
      <c r="A33" s="12"/>
      <c r="B33" s="22"/>
      <c r="C33" s="19"/>
      <c r="D33" s="19"/>
      <c r="E33" s="12"/>
      <c r="F33" s="17"/>
      <c r="G33" s="17"/>
      <c r="H33" s="17"/>
      <c r="I33" s="17"/>
      <c r="J33" s="12"/>
      <c r="K33" s="17"/>
      <c r="L33" s="17"/>
      <c r="M33" s="17"/>
      <c r="N33" s="17"/>
      <c r="O33" s="17"/>
      <c r="P33" s="12"/>
      <c r="Q33" s="17"/>
      <c r="R33" s="19"/>
      <c r="S33" s="17"/>
      <c r="T33" s="19"/>
      <c r="U33" s="24"/>
      <c r="V33" s="24"/>
    </row>
    <row r="34" spans="1:23" ht="15.75" x14ac:dyDescent="0.25">
      <c r="A34" s="12">
        <v>24</v>
      </c>
      <c r="B34" s="22" t="s">
        <v>118</v>
      </c>
      <c r="C34" s="196" t="s">
        <v>194</v>
      </c>
      <c r="D34" s="196" t="s">
        <v>32</v>
      </c>
      <c r="E34" s="12">
        <v>637.1</v>
      </c>
      <c r="F34" s="17">
        <f>E31</f>
        <v>613.1</v>
      </c>
      <c r="G34" s="17">
        <f t="shared" si="53"/>
        <v>24</v>
      </c>
      <c r="H34" s="17">
        <v>1</v>
      </c>
      <c r="I34" s="17">
        <f t="shared" si="54"/>
        <v>24</v>
      </c>
      <c r="J34" s="12">
        <v>4098.3</v>
      </c>
      <c r="K34" s="17">
        <f>J31</f>
        <v>3788.2</v>
      </c>
      <c r="L34" s="17">
        <f t="shared" si="56"/>
        <v>310.10000000000036</v>
      </c>
      <c r="M34" s="17">
        <v>1</v>
      </c>
      <c r="N34" s="17">
        <f t="shared" si="57"/>
        <v>310.10000000000036</v>
      </c>
      <c r="O34" s="17">
        <f t="shared" si="58"/>
        <v>286.10000000000036</v>
      </c>
      <c r="P34" s="12">
        <v>4598.3999999999996</v>
      </c>
      <c r="Q34" s="17">
        <f>P31</f>
        <v>4252.3999999999996</v>
      </c>
      <c r="R34" s="19">
        <f t="shared" ref="R34:R39" si="62">P34-Q34</f>
        <v>346</v>
      </c>
      <c r="S34" s="17">
        <v>1</v>
      </c>
      <c r="T34" s="19">
        <f t="shared" si="60"/>
        <v>346</v>
      </c>
      <c r="U34" s="19" t="s">
        <v>241</v>
      </c>
      <c r="V34" s="19" t="s">
        <v>242</v>
      </c>
    </row>
    <row r="35" spans="1:23" ht="15.75" x14ac:dyDescent="0.25">
      <c r="A35" s="12">
        <v>25</v>
      </c>
      <c r="B35" s="22" t="s">
        <v>119</v>
      </c>
      <c r="C35" s="196"/>
      <c r="D35" s="196"/>
      <c r="E35" s="12">
        <v>661.3</v>
      </c>
      <c r="F35" s="17">
        <f t="shared" ref="F35" si="63">E34</f>
        <v>637.1</v>
      </c>
      <c r="G35" s="17">
        <f t="shared" ref="G35" si="64">E35-F35</f>
        <v>24.199999999999932</v>
      </c>
      <c r="H35" s="17">
        <v>1</v>
      </c>
      <c r="I35" s="17">
        <f t="shared" ref="I35:I38" si="65">G35*H35</f>
        <v>24.199999999999932</v>
      </c>
      <c r="J35" s="12">
        <v>4484</v>
      </c>
      <c r="K35" s="17">
        <f t="shared" ref="K35" si="66">J34</f>
        <v>4098.3</v>
      </c>
      <c r="L35" s="17">
        <f t="shared" ref="L35" si="67">J35-K35</f>
        <v>385.69999999999982</v>
      </c>
      <c r="M35" s="17">
        <v>1</v>
      </c>
      <c r="N35" s="17">
        <f t="shared" ref="N35" si="68">L35*M35</f>
        <v>385.69999999999982</v>
      </c>
      <c r="O35" s="17">
        <f t="shared" ref="O35" si="69">N35-I35</f>
        <v>361.49999999999989</v>
      </c>
      <c r="P35" s="12">
        <v>5012</v>
      </c>
      <c r="Q35" s="17">
        <f t="shared" ref="Q35" si="70">P34</f>
        <v>4598.3999999999996</v>
      </c>
      <c r="R35" s="19">
        <f t="shared" si="62"/>
        <v>413.60000000000036</v>
      </c>
      <c r="S35" s="17">
        <v>1</v>
      </c>
      <c r="T35" s="19">
        <f t="shared" ref="T35" si="71">R35*S35</f>
        <v>413.60000000000036</v>
      </c>
      <c r="U35" s="19"/>
      <c r="V35" s="19"/>
    </row>
    <row r="36" spans="1:23" ht="15.75" x14ac:dyDescent="0.25">
      <c r="A36" s="12">
        <v>26</v>
      </c>
      <c r="B36" s="22" t="s">
        <v>195</v>
      </c>
      <c r="C36" s="196"/>
      <c r="D36" s="196"/>
      <c r="E36" s="12">
        <v>674.8</v>
      </c>
      <c r="F36" s="17">
        <f t="shared" ref="F36" si="72">E35</f>
        <v>661.3</v>
      </c>
      <c r="G36" s="17">
        <f t="shared" ref="G36" si="73">E36-F36</f>
        <v>13.5</v>
      </c>
      <c r="H36" s="17">
        <v>1</v>
      </c>
      <c r="I36" s="17">
        <f t="shared" si="65"/>
        <v>13.5</v>
      </c>
      <c r="J36" s="12">
        <v>4786.2</v>
      </c>
      <c r="K36" s="17">
        <f t="shared" ref="K36" si="74">J35</f>
        <v>4484</v>
      </c>
      <c r="L36" s="17">
        <f t="shared" ref="L36" si="75">J36-K36</f>
        <v>302.19999999999982</v>
      </c>
      <c r="M36" s="17">
        <v>1</v>
      </c>
      <c r="N36" s="17">
        <f t="shared" ref="N36" si="76">L36*M36</f>
        <v>302.19999999999982</v>
      </c>
      <c r="O36" s="17">
        <f t="shared" si="58"/>
        <v>288.69999999999982</v>
      </c>
      <c r="P36" s="12">
        <v>5344.9</v>
      </c>
      <c r="Q36" s="17">
        <f>P35</f>
        <v>5012</v>
      </c>
      <c r="R36" s="19">
        <f t="shared" si="62"/>
        <v>332.89999999999964</v>
      </c>
      <c r="S36" s="17">
        <v>1</v>
      </c>
      <c r="T36" s="19">
        <f t="shared" ref="T36" si="77">R36*S36</f>
        <v>332.89999999999964</v>
      </c>
      <c r="U36" s="19"/>
      <c r="V36" s="19"/>
    </row>
    <row r="37" spans="1:23" ht="15" customHeight="1" x14ac:dyDescent="0.3">
      <c r="A37" s="89">
        <v>27</v>
      </c>
      <c r="B37" s="22" t="s">
        <v>203</v>
      </c>
      <c r="C37" s="196"/>
      <c r="D37" s="196"/>
      <c r="E37" s="21">
        <v>686.9</v>
      </c>
      <c r="F37" s="17">
        <f t="shared" ref="F37" si="78">E36</f>
        <v>674.8</v>
      </c>
      <c r="G37" s="17">
        <f t="shared" ref="G37" si="79">E37-F37</f>
        <v>12.100000000000023</v>
      </c>
      <c r="H37" s="17">
        <f>H36:H36</f>
        <v>1</v>
      </c>
      <c r="I37" s="17">
        <f t="shared" si="65"/>
        <v>12.100000000000023</v>
      </c>
      <c r="J37" s="21">
        <v>5095.8</v>
      </c>
      <c r="K37" s="17">
        <f t="shared" ref="K37" si="80">J36</f>
        <v>4786.2</v>
      </c>
      <c r="L37" s="17">
        <f t="shared" ref="L37" si="81">J37-K37</f>
        <v>309.60000000000036</v>
      </c>
      <c r="M37" s="17">
        <f>M36</f>
        <v>1</v>
      </c>
      <c r="N37" s="17">
        <f t="shared" ref="N37" si="82">L37*M37</f>
        <v>309.60000000000036</v>
      </c>
      <c r="O37" s="17">
        <f t="shared" si="58"/>
        <v>297.50000000000034</v>
      </c>
      <c r="P37" s="20">
        <v>5692.2</v>
      </c>
      <c r="Q37" s="17">
        <f t="shared" ref="Q37" si="83">P36</f>
        <v>5344.9</v>
      </c>
      <c r="R37" s="19">
        <f t="shared" si="62"/>
        <v>347.30000000000018</v>
      </c>
      <c r="S37" s="17">
        <f t="shared" ref="S37:S45" si="84">S36</f>
        <v>1</v>
      </c>
      <c r="T37" s="19">
        <f t="shared" ref="T37" si="85">R37*S37</f>
        <v>347.30000000000018</v>
      </c>
      <c r="U37" s="66"/>
      <c r="V37" s="66"/>
    </row>
    <row r="38" spans="1:23" ht="15.75" x14ac:dyDescent="0.25">
      <c r="A38" s="12">
        <v>28</v>
      </c>
      <c r="B38" s="22" t="s">
        <v>240</v>
      </c>
      <c r="C38" s="196"/>
      <c r="D38" s="196"/>
      <c r="E38" s="12">
        <v>704.6</v>
      </c>
      <c r="F38" s="17">
        <f t="shared" ref="F38" si="86">E37</f>
        <v>686.9</v>
      </c>
      <c r="G38" s="17">
        <f t="shared" ref="G38" si="87">E38-F38</f>
        <v>17.700000000000045</v>
      </c>
      <c r="H38" s="17">
        <f>H37:H37</f>
        <v>1</v>
      </c>
      <c r="I38" s="17">
        <f t="shared" si="65"/>
        <v>17.700000000000045</v>
      </c>
      <c r="J38" s="12">
        <v>5351.5</v>
      </c>
      <c r="K38" s="17">
        <f t="shared" ref="K38" si="88">J37</f>
        <v>5095.8</v>
      </c>
      <c r="L38" s="17">
        <f t="shared" ref="L38" si="89">J38-K38</f>
        <v>255.69999999999982</v>
      </c>
      <c r="M38" s="17">
        <f>M37</f>
        <v>1</v>
      </c>
      <c r="N38" s="17">
        <f t="shared" ref="N38" si="90">L38*M38</f>
        <v>255.69999999999982</v>
      </c>
      <c r="O38" s="17">
        <f t="shared" si="58"/>
        <v>237.99999999999977</v>
      </c>
      <c r="P38" s="20">
        <v>5984.5</v>
      </c>
      <c r="Q38" s="17">
        <f t="shared" ref="Q38" si="91">P37</f>
        <v>5692.2</v>
      </c>
      <c r="R38" s="19">
        <f t="shared" si="62"/>
        <v>292.30000000000018</v>
      </c>
      <c r="S38" s="17">
        <f t="shared" si="84"/>
        <v>1</v>
      </c>
      <c r="T38" s="19">
        <f t="shared" ref="T38" si="92">R38*S38</f>
        <v>292.30000000000018</v>
      </c>
      <c r="U38" s="8"/>
      <c r="V38" s="8"/>
    </row>
    <row r="39" spans="1:23" ht="15.75" x14ac:dyDescent="0.25">
      <c r="A39" s="12">
        <v>29</v>
      </c>
      <c r="B39" s="22" t="s">
        <v>244</v>
      </c>
      <c r="C39" s="196"/>
      <c r="D39" s="196"/>
      <c r="E39" s="192" t="s">
        <v>243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20">
        <f>P38+295</f>
        <v>6279.5</v>
      </c>
      <c r="Q39" s="17">
        <f t="shared" ref="Q39" si="93">P38</f>
        <v>5984.5</v>
      </c>
      <c r="R39" s="19">
        <f t="shared" si="62"/>
        <v>295</v>
      </c>
      <c r="S39" s="17">
        <f t="shared" si="84"/>
        <v>1</v>
      </c>
      <c r="T39" s="19">
        <f t="shared" ref="T39" si="94">R39*S39</f>
        <v>295</v>
      </c>
      <c r="U39" s="8"/>
      <c r="V39" s="8"/>
      <c r="W39" s="3" t="s">
        <v>251</v>
      </c>
    </row>
    <row r="40" spans="1:23" ht="15.75" x14ac:dyDescent="0.25">
      <c r="A40" s="12">
        <v>30</v>
      </c>
      <c r="B40" s="22" t="s">
        <v>245</v>
      </c>
      <c r="C40" s="196"/>
      <c r="D40" s="196"/>
      <c r="E40" s="192" t="s">
        <v>243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20">
        <v>6658.6</v>
      </c>
      <c r="Q40" s="17">
        <f t="shared" ref="Q40" si="95">P39</f>
        <v>6279.5</v>
      </c>
      <c r="R40" s="19">
        <f t="shared" ref="R40" si="96">P40-Q40</f>
        <v>379.10000000000036</v>
      </c>
      <c r="S40" s="17">
        <f t="shared" si="84"/>
        <v>1</v>
      </c>
      <c r="T40" s="19">
        <f t="shared" ref="T40" si="97">R40*S40</f>
        <v>379.10000000000036</v>
      </c>
      <c r="U40" s="8">
        <v>3.72</v>
      </c>
      <c r="V40" s="8"/>
    </row>
    <row r="41" spans="1:23" ht="15.75" x14ac:dyDescent="0.25">
      <c r="A41" s="12">
        <v>31</v>
      </c>
      <c r="B41" s="22" t="s">
        <v>246</v>
      </c>
      <c r="C41" s="196"/>
      <c r="D41" s="196"/>
      <c r="E41" s="192" t="s">
        <v>243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20">
        <v>6758.6</v>
      </c>
      <c r="Q41" s="17">
        <f t="shared" ref="Q41" si="98">P40</f>
        <v>6658.6</v>
      </c>
      <c r="R41" s="19">
        <f t="shared" ref="R41" si="99">P41-Q41</f>
        <v>100</v>
      </c>
      <c r="S41" s="17">
        <f t="shared" si="84"/>
        <v>1</v>
      </c>
      <c r="T41" s="19">
        <f t="shared" ref="T41" si="100">R41*S41</f>
        <v>100</v>
      </c>
      <c r="U41" s="8">
        <v>3.72</v>
      </c>
      <c r="V41" s="8"/>
    </row>
    <row r="42" spans="1:23" ht="15.75" x14ac:dyDescent="0.25">
      <c r="A42" s="12">
        <v>32</v>
      </c>
      <c r="B42" s="22" t="s">
        <v>252</v>
      </c>
      <c r="C42" s="196"/>
      <c r="D42" s="196"/>
      <c r="E42" s="192" t="s">
        <v>243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20">
        <v>7094</v>
      </c>
      <c r="Q42" s="17">
        <f t="shared" ref="Q42:Q43" si="101">P41</f>
        <v>6758.6</v>
      </c>
      <c r="R42" s="19">
        <f t="shared" ref="R42:R43" si="102">P42-Q42</f>
        <v>335.39999999999964</v>
      </c>
      <c r="S42" s="17">
        <f t="shared" si="84"/>
        <v>1</v>
      </c>
      <c r="T42" s="19">
        <f t="shared" ref="T42:T43" si="103">R42*S42</f>
        <v>335.39999999999964</v>
      </c>
      <c r="U42" s="8">
        <v>2.66</v>
      </c>
      <c r="V42" s="8"/>
    </row>
    <row r="43" spans="1:23" ht="15.75" x14ac:dyDescent="0.25">
      <c r="A43" s="12">
        <v>33</v>
      </c>
      <c r="B43" s="22" t="s">
        <v>253</v>
      </c>
      <c r="C43" s="196"/>
      <c r="D43" s="196"/>
      <c r="E43" s="8">
        <v>53.1</v>
      </c>
      <c r="F43" s="8">
        <v>0</v>
      </c>
      <c r="G43" s="17">
        <f t="shared" ref="G43" si="104">E43-F43</f>
        <v>53.1</v>
      </c>
      <c r="H43" s="17">
        <v>1</v>
      </c>
      <c r="I43" s="17">
        <f t="shared" ref="I43" si="105">G43*H43</f>
        <v>53.1</v>
      </c>
      <c r="J43" s="8">
        <v>475</v>
      </c>
      <c r="K43" s="8">
        <v>0</v>
      </c>
      <c r="L43" s="17">
        <f t="shared" ref="L43:L44" si="106">J43-K43</f>
        <v>475</v>
      </c>
      <c r="M43" s="17">
        <v>1</v>
      </c>
      <c r="N43" s="17">
        <f t="shared" ref="N43" si="107">L43*M43</f>
        <v>475</v>
      </c>
      <c r="O43" s="17">
        <f t="shared" ref="O43:O45" si="108">N43-I43</f>
        <v>421.9</v>
      </c>
      <c r="P43" s="88">
        <v>7563.1</v>
      </c>
      <c r="Q43" s="17">
        <f t="shared" si="101"/>
        <v>7094</v>
      </c>
      <c r="R43" s="19">
        <f t="shared" si="102"/>
        <v>469.10000000000036</v>
      </c>
      <c r="S43" s="17">
        <f t="shared" si="84"/>
        <v>1</v>
      </c>
      <c r="T43" s="19">
        <f t="shared" si="103"/>
        <v>469.10000000000036</v>
      </c>
      <c r="U43" s="8">
        <v>2.86</v>
      </c>
      <c r="V43" s="8"/>
    </row>
    <row r="44" spans="1:23" ht="15.75" x14ac:dyDescent="0.25">
      <c r="A44" s="12">
        <v>34</v>
      </c>
      <c r="B44" s="22" t="s">
        <v>254</v>
      </c>
      <c r="C44" s="196"/>
      <c r="D44" s="196"/>
      <c r="E44" s="8">
        <v>82.2</v>
      </c>
      <c r="F44" s="8">
        <f>E43</f>
        <v>53.1</v>
      </c>
      <c r="G44" s="17">
        <f t="shared" ref="G44" si="109">E44-F44</f>
        <v>29.1</v>
      </c>
      <c r="H44" s="17">
        <f>H43</f>
        <v>1</v>
      </c>
      <c r="I44" s="17">
        <f t="shared" ref="I44" si="110">G44*H44</f>
        <v>29.1</v>
      </c>
      <c r="J44" s="8">
        <v>872</v>
      </c>
      <c r="K44" s="8">
        <f>J43</f>
        <v>475</v>
      </c>
      <c r="L44" s="17">
        <f t="shared" si="106"/>
        <v>397</v>
      </c>
      <c r="M44" s="17">
        <v>1</v>
      </c>
      <c r="N44" s="17">
        <f t="shared" ref="N44" si="111">L44*M44</f>
        <v>397</v>
      </c>
      <c r="O44" s="17">
        <f t="shared" si="108"/>
        <v>367.9</v>
      </c>
      <c r="P44" s="88">
        <v>7989.6</v>
      </c>
      <c r="Q44" s="17">
        <f t="shared" ref="Q44" si="112">P43</f>
        <v>7563.1</v>
      </c>
      <c r="R44" s="19">
        <f t="shared" ref="R44" si="113">P44-Q44</f>
        <v>426.5</v>
      </c>
      <c r="S44" s="17">
        <f t="shared" si="84"/>
        <v>1</v>
      </c>
      <c r="T44" s="19">
        <f t="shared" ref="T44" si="114">R44*S44</f>
        <v>426.5</v>
      </c>
      <c r="U44" s="8">
        <v>3.08</v>
      </c>
      <c r="V44" s="8"/>
    </row>
    <row r="45" spans="1:23" ht="15.75" x14ac:dyDescent="0.25">
      <c r="A45" s="12">
        <v>35</v>
      </c>
      <c r="B45" s="22" t="s">
        <v>258</v>
      </c>
      <c r="C45" s="196"/>
      <c r="D45" s="196"/>
      <c r="E45" s="8">
        <v>107.2</v>
      </c>
      <c r="F45" s="8">
        <f>E44</f>
        <v>82.2</v>
      </c>
      <c r="G45" s="17">
        <f t="shared" ref="G45" si="115">E45-F45</f>
        <v>25</v>
      </c>
      <c r="H45" s="17">
        <f>H44</f>
        <v>1</v>
      </c>
      <c r="I45" s="17">
        <f t="shared" ref="I45" si="116">G45*H45</f>
        <v>25</v>
      </c>
      <c r="J45" s="8">
        <v>1288</v>
      </c>
      <c r="K45" s="8">
        <f>J44</f>
        <v>872</v>
      </c>
      <c r="L45" s="17">
        <f t="shared" ref="L45" si="117">J45-K45</f>
        <v>416</v>
      </c>
      <c r="M45" s="17">
        <f>M44</f>
        <v>1</v>
      </c>
      <c r="N45" s="17">
        <f t="shared" ref="N45" si="118">L45*M45</f>
        <v>416</v>
      </c>
      <c r="O45" s="17">
        <f t="shared" si="108"/>
        <v>391</v>
      </c>
      <c r="P45" s="88">
        <v>8455.6</v>
      </c>
      <c r="Q45" s="17">
        <f t="shared" ref="Q45" si="119">P44</f>
        <v>7989.6</v>
      </c>
      <c r="R45" s="19">
        <f t="shared" ref="R45" si="120">P45-Q45</f>
        <v>466</v>
      </c>
      <c r="S45" s="17">
        <f t="shared" si="84"/>
        <v>1</v>
      </c>
      <c r="T45" s="19">
        <f t="shared" ref="T45" si="121">R45*S45</f>
        <v>466</v>
      </c>
      <c r="U45" s="8"/>
      <c r="V45" s="8"/>
    </row>
    <row r="46" spans="1:23" s="3" customFormat="1" ht="15.75" x14ac:dyDescent="0.25">
      <c r="A46" s="88"/>
      <c r="B46" s="88"/>
      <c r="C46" s="88"/>
      <c r="D46" s="88"/>
      <c r="E46" s="88"/>
      <c r="F46" s="88"/>
      <c r="G46" s="88"/>
      <c r="H46" s="88" t="s">
        <v>121</v>
      </c>
      <c r="I46" s="88">
        <f>I34+I36+I35+I37+I38+I43+I44+I45</f>
        <v>198.7</v>
      </c>
      <c r="J46" s="88"/>
      <c r="K46" s="88"/>
      <c r="L46" s="88"/>
      <c r="M46" s="88"/>
      <c r="N46" s="88">
        <f t="shared" ref="N46:O46" si="122">N34+N36+N35+N37+N38+N43+N44+N45</f>
        <v>2851.3</v>
      </c>
      <c r="O46" s="88">
        <f t="shared" si="122"/>
        <v>2652.6000000000004</v>
      </c>
      <c r="P46" s="88"/>
      <c r="Q46" s="88"/>
      <c r="R46" s="88"/>
      <c r="S46" s="88"/>
      <c r="T46" s="12">
        <f>SUM(T34:T45)</f>
        <v>4203.2000000000007</v>
      </c>
      <c r="U46" s="88"/>
      <c r="V46" s="88"/>
    </row>
    <row r="47" spans="1:23" ht="15.75" x14ac:dyDescent="0.25">
      <c r="A47" s="12">
        <v>36</v>
      </c>
      <c r="B47" s="22" t="s">
        <v>259</v>
      </c>
      <c r="C47" s="8" t="s">
        <v>194</v>
      </c>
      <c r="D47" s="8" t="s">
        <v>32</v>
      </c>
      <c r="E47" s="8">
        <v>154.6</v>
      </c>
      <c r="F47" s="8">
        <f>E45</f>
        <v>107.2</v>
      </c>
      <c r="G47" s="17">
        <f t="shared" ref="G47" si="123">E47-F47</f>
        <v>47.399999999999991</v>
      </c>
      <c r="H47" s="17">
        <f>H45</f>
        <v>1</v>
      </c>
      <c r="I47" s="17">
        <f t="shared" ref="I47" si="124">G47*H47</f>
        <v>47.399999999999991</v>
      </c>
      <c r="J47" s="8">
        <v>1769.7</v>
      </c>
      <c r="K47" s="8">
        <f>J45</f>
        <v>1288</v>
      </c>
      <c r="L47" s="17">
        <f t="shared" ref="L47" si="125">J47-K47</f>
        <v>481.70000000000005</v>
      </c>
      <c r="M47" s="17">
        <f>M45</f>
        <v>1</v>
      </c>
      <c r="N47" s="17">
        <f t="shared" ref="N47" si="126">L47*M47</f>
        <v>481.70000000000005</v>
      </c>
      <c r="O47" s="17">
        <f t="shared" ref="O47" si="127">N47-I47</f>
        <v>434.30000000000007</v>
      </c>
      <c r="P47" s="20">
        <v>8940.2999999999993</v>
      </c>
      <c r="Q47" s="17">
        <f>P45</f>
        <v>8455.6</v>
      </c>
      <c r="R47" s="19">
        <f t="shared" ref="R47" si="128">P47-Q47</f>
        <v>484.69999999999891</v>
      </c>
      <c r="S47" s="17">
        <f>S45</f>
        <v>1</v>
      </c>
      <c r="T47" s="19">
        <f t="shared" ref="T47" si="129">R47*S47</f>
        <v>484.69999999999891</v>
      </c>
      <c r="U47" s="8">
        <v>2.68</v>
      </c>
      <c r="V47" s="8"/>
    </row>
    <row r="48" spans="1:23" ht="15.75" x14ac:dyDescent="0.25">
      <c r="A48" s="12">
        <v>37</v>
      </c>
      <c r="B48" s="22" t="s">
        <v>263</v>
      </c>
      <c r="C48" s="8" t="s">
        <v>194</v>
      </c>
      <c r="D48" s="8" t="s">
        <v>32</v>
      </c>
      <c r="E48" s="8">
        <v>176.1</v>
      </c>
      <c r="F48" s="8">
        <f t="shared" ref="F48:F53" si="130">E47</f>
        <v>154.6</v>
      </c>
      <c r="G48" s="17">
        <f t="shared" ref="G48" si="131">E48-F48</f>
        <v>21.5</v>
      </c>
      <c r="H48" s="17">
        <f t="shared" ref="H48:H87" si="132">H47</f>
        <v>1</v>
      </c>
      <c r="I48" s="17">
        <f t="shared" ref="I48" si="133">G48*H48</f>
        <v>21.5</v>
      </c>
      <c r="J48" s="8">
        <v>2130.9</v>
      </c>
      <c r="K48" s="8">
        <f t="shared" ref="K48:K53" si="134">J47</f>
        <v>1769.7</v>
      </c>
      <c r="L48" s="17">
        <f t="shared" ref="L48" si="135">J48-K48</f>
        <v>361.20000000000005</v>
      </c>
      <c r="M48" s="17">
        <f t="shared" ref="M48:M87" si="136">M47</f>
        <v>1</v>
      </c>
      <c r="N48" s="17">
        <f t="shared" ref="N48" si="137">L48*M48</f>
        <v>361.20000000000005</v>
      </c>
      <c r="O48" s="17">
        <f t="shared" ref="O48" si="138">N48-I48</f>
        <v>339.70000000000005</v>
      </c>
      <c r="P48" s="20">
        <v>9288</v>
      </c>
      <c r="Q48" s="17">
        <f t="shared" ref="Q48:Q53" si="139">P47</f>
        <v>8940.2999999999993</v>
      </c>
      <c r="R48" s="19">
        <f t="shared" ref="R48" si="140">P48-Q48</f>
        <v>347.70000000000073</v>
      </c>
      <c r="S48" s="17">
        <f t="shared" ref="S48:S87" si="141">S47</f>
        <v>1</v>
      </c>
      <c r="T48" s="19">
        <f t="shared" ref="T48" si="142">R48*S48</f>
        <v>347.70000000000073</v>
      </c>
      <c r="U48" s="8">
        <v>1.51</v>
      </c>
      <c r="V48" s="8"/>
    </row>
    <row r="49" spans="1:22" ht="15.75" x14ac:dyDescent="0.25">
      <c r="A49" s="12">
        <v>38</v>
      </c>
      <c r="B49" s="22" t="s">
        <v>265</v>
      </c>
      <c r="C49" s="8" t="s">
        <v>194</v>
      </c>
      <c r="D49" s="8" t="s">
        <v>32</v>
      </c>
      <c r="E49" s="8">
        <v>187</v>
      </c>
      <c r="F49" s="8">
        <f t="shared" si="130"/>
        <v>176.1</v>
      </c>
      <c r="G49" s="17">
        <f t="shared" ref="G49" si="143">E49-F49</f>
        <v>10.900000000000006</v>
      </c>
      <c r="H49" s="17">
        <f t="shared" si="132"/>
        <v>1</v>
      </c>
      <c r="I49" s="17">
        <f t="shared" ref="I49" si="144">G49*H49</f>
        <v>10.900000000000006</v>
      </c>
      <c r="J49" s="8">
        <v>2370.1</v>
      </c>
      <c r="K49" s="8">
        <f t="shared" si="134"/>
        <v>2130.9</v>
      </c>
      <c r="L49" s="17">
        <f t="shared" ref="L49" si="145">J49-K49</f>
        <v>239.19999999999982</v>
      </c>
      <c r="M49" s="17">
        <f t="shared" si="136"/>
        <v>1</v>
      </c>
      <c r="N49" s="17">
        <f t="shared" ref="N49" si="146">L49*M49</f>
        <v>239.19999999999982</v>
      </c>
      <c r="O49" s="17">
        <f t="shared" ref="O49" si="147">N49-I49</f>
        <v>228.29999999999981</v>
      </c>
      <c r="P49" s="20">
        <v>9538.2000000000007</v>
      </c>
      <c r="Q49" s="17">
        <f t="shared" si="139"/>
        <v>9288</v>
      </c>
      <c r="R49" s="19">
        <f t="shared" ref="R49" si="148">P49-Q49</f>
        <v>250.20000000000073</v>
      </c>
      <c r="S49" s="17">
        <f t="shared" si="141"/>
        <v>1</v>
      </c>
      <c r="T49" s="19">
        <f t="shared" ref="T49" si="149">R49*S49</f>
        <v>250.20000000000073</v>
      </c>
      <c r="U49" s="8">
        <v>0.25</v>
      </c>
      <c r="V49" s="8">
        <v>0.9</v>
      </c>
    </row>
    <row r="50" spans="1:22" ht="15.75" x14ac:dyDescent="0.25">
      <c r="A50" s="12">
        <v>39</v>
      </c>
      <c r="B50" s="22" t="s">
        <v>266</v>
      </c>
      <c r="C50" s="8" t="s">
        <v>194</v>
      </c>
      <c r="D50" s="8" t="s">
        <v>32</v>
      </c>
      <c r="E50" s="8">
        <v>201.6</v>
      </c>
      <c r="F50" s="8">
        <f t="shared" si="130"/>
        <v>187</v>
      </c>
      <c r="G50" s="17">
        <f t="shared" ref="G50" si="150">E50-F50</f>
        <v>14.599999999999994</v>
      </c>
      <c r="H50" s="17">
        <f t="shared" si="132"/>
        <v>1</v>
      </c>
      <c r="I50" s="17">
        <f t="shared" ref="I50" si="151">G50*H50</f>
        <v>14.599999999999994</v>
      </c>
      <c r="J50" s="8">
        <v>2654.2</v>
      </c>
      <c r="K50" s="8">
        <f t="shared" si="134"/>
        <v>2370.1</v>
      </c>
      <c r="L50" s="17">
        <f t="shared" ref="L50" si="152">J50-K50</f>
        <v>284.09999999999991</v>
      </c>
      <c r="M50" s="17">
        <f t="shared" si="136"/>
        <v>1</v>
      </c>
      <c r="N50" s="17">
        <f t="shared" ref="N50" si="153">L50*M50</f>
        <v>284.09999999999991</v>
      </c>
      <c r="O50" s="17">
        <f t="shared" ref="O50" si="154">N50-I50</f>
        <v>269.49999999999989</v>
      </c>
      <c r="P50" s="8">
        <v>9822.2000000000007</v>
      </c>
      <c r="Q50" s="17">
        <f t="shared" si="139"/>
        <v>9538.2000000000007</v>
      </c>
      <c r="R50" s="19">
        <f t="shared" ref="R50" si="155">P50-Q50</f>
        <v>284</v>
      </c>
      <c r="S50" s="17">
        <f t="shared" si="141"/>
        <v>1</v>
      </c>
      <c r="T50" s="19">
        <f t="shared" ref="T50" si="156">R50*S50</f>
        <v>284</v>
      </c>
      <c r="U50" s="8"/>
      <c r="V50" s="8"/>
    </row>
    <row r="51" spans="1:22" ht="15.75" x14ac:dyDescent="0.25">
      <c r="A51" s="12">
        <v>40</v>
      </c>
      <c r="B51" s="22" t="s">
        <v>267</v>
      </c>
      <c r="C51" s="8" t="s">
        <v>194</v>
      </c>
      <c r="D51" s="8" t="s">
        <v>32</v>
      </c>
      <c r="E51" s="8">
        <v>215</v>
      </c>
      <c r="F51" s="8">
        <f t="shared" si="130"/>
        <v>201.6</v>
      </c>
      <c r="G51" s="17">
        <f t="shared" ref="G51" si="157">E51-F51</f>
        <v>13.400000000000006</v>
      </c>
      <c r="H51" s="17">
        <f t="shared" si="132"/>
        <v>1</v>
      </c>
      <c r="I51" s="17">
        <f t="shared" ref="I51" si="158">G51*H51</f>
        <v>13.400000000000006</v>
      </c>
      <c r="J51" s="8">
        <v>2972.9</v>
      </c>
      <c r="K51" s="8">
        <f t="shared" si="134"/>
        <v>2654.2</v>
      </c>
      <c r="L51" s="17">
        <f t="shared" ref="L51" si="159">J51-K51</f>
        <v>318.70000000000027</v>
      </c>
      <c r="M51" s="17">
        <f t="shared" si="136"/>
        <v>1</v>
      </c>
      <c r="N51" s="17">
        <f t="shared" ref="N51" si="160">L51*M51</f>
        <v>318.70000000000027</v>
      </c>
      <c r="O51" s="17">
        <f t="shared" ref="O51" si="161">N51-I51</f>
        <v>305.3000000000003</v>
      </c>
      <c r="P51" s="20">
        <v>10163.299999999999</v>
      </c>
      <c r="Q51" s="17">
        <f t="shared" si="139"/>
        <v>9822.2000000000007</v>
      </c>
      <c r="R51" s="19">
        <f t="shared" ref="R51" si="162">P51-Q51</f>
        <v>341.09999999999854</v>
      </c>
      <c r="S51" s="17">
        <f t="shared" si="141"/>
        <v>1</v>
      </c>
      <c r="T51" s="19">
        <f t="shared" ref="T51" si="163">R51*S51</f>
        <v>341.09999999999854</v>
      </c>
      <c r="U51" s="8">
        <v>3.3</v>
      </c>
      <c r="V51" s="8"/>
    </row>
    <row r="52" spans="1:22" ht="15.75" x14ac:dyDescent="0.25">
      <c r="A52" s="12">
        <v>41</v>
      </c>
      <c r="B52" s="22" t="s">
        <v>268</v>
      </c>
      <c r="C52" s="8" t="s">
        <v>194</v>
      </c>
      <c r="D52" s="8" t="s">
        <v>32</v>
      </c>
      <c r="E52" s="8">
        <v>223.5</v>
      </c>
      <c r="F52" s="8">
        <f t="shared" si="130"/>
        <v>215</v>
      </c>
      <c r="G52" s="17">
        <f t="shared" ref="G52" si="164">E52-F52</f>
        <v>8.5</v>
      </c>
      <c r="H52" s="17">
        <f t="shared" si="132"/>
        <v>1</v>
      </c>
      <c r="I52" s="17">
        <f t="shared" ref="I52" si="165">G52*H52</f>
        <v>8.5</v>
      </c>
      <c r="J52" s="8">
        <v>3298.1</v>
      </c>
      <c r="K52" s="8">
        <f t="shared" si="134"/>
        <v>2972.9</v>
      </c>
      <c r="L52" s="17">
        <f t="shared" ref="L52" si="166">J52-K52</f>
        <v>325.19999999999982</v>
      </c>
      <c r="M52" s="17">
        <f t="shared" si="136"/>
        <v>1</v>
      </c>
      <c r="N52" s="17">
        <f t="shared" ref="N52" si="167">L52*M52</f>
        <v>325.19999999999982</v>
      </c>
      <c r="O52" s="17">
        <f t="shared" ref="O52" si="168">N52-I52</f>
        <v>316.69999999999982</v>
      </c>
      <c r="P52" s="8">
        <v>10499</v>
      </c>
      <c r="Q52" s="17">
        <f t="shared" si="139"/>
        <v>10163.299999999999</v>
      </c>
      <c r="R52" s="19">
        <f t="shared" ref="R52" si="169">P52-Q52</f>
        <v>335.70000000000073</v>
      </c>
      <c r="S52" s="17">
        <f t="shared" si="141"/>
        <v>1</v>
      </c>
      <c r="T52" s="19">
        <f t="shared" ref="T52" si="170">R52*S52</f>
        <v>335.70000000000073</v>
      </c>
      <c r="U52" s="8"/>
      <c r="V52" s="8"/>
    </row>
    <row r="53" spans="1:22" ht="15.75" x14ac:dyDescent="0.25">
      <c r="A53" s="12">
        <v>42</v>
      </c>
      <c r="B53" s="22" t="s">
        <v>272</v>
      </c>
      <c r="C53" s="8" t="s">
        <v>194</v>
      </c>
      <c r="D53" s="8" t="s">
        <v>32</v>
      </c>
      <c r="E53" s="8">
        <v>239.9</v>
      </c>
      <c r="F53" s="8">
        <f t="shared" si="130"/>
        <v>223.5</v>
      </c>
      <c r="G53" s="17">
        <f t="shared" ref="G53" si="171">E53-F53</f>
        <v>16.400000000000006</v>
      </c>
      <c r="H53" s="17">
        <f t="shared" si="132"/>
        <v>1</v>
      </c>
      <c r="I53" s="17">
        <f t="shared" ref="I53" si="172">G53*H53</f>
        <v>16.400000000000006</v>
      </c>
      <c r="J53" s="8">
        <v>3701.1</v>
      </c>
      <c r="K53" s="8">
        <f t="shared" si="134"/>
        <v>3298.1</v>
      </c>
      <c r="L53" s="17">
        <f t="shared" ref="L53" si="173">J53-K53</f>
        <v>403</v>
      </c>
      <c r="M53" s="17">
        <f t="shared" si="136"/>
        <v>1</v>
      </c>
      <c r="N53" s="17">
        <f t="shared" ref="N53" si="174">L53*M53</f>
        <v>403</v>
      </c>
      <c r="O53" s="17">
        <f t="shared" ref="O53" si="175">N53-I53</f>
        <v>386.6</v>
      </c>
      <c r="P53" s="8">
        <v>10926</v>
      </c>
      <c r="Q53" s="17">
        <f t="shared" si="139"/>
        <v>10499</v>
      </c>
      <c r="R53" s="19">
        <f t="shared" ref="R53" si="176">P53-Q53</f>
        <v>427</v>
      </c>
      <c r="S53" s="17">
        <f t="shared" si="141"/>
        <v>1</v>
      </c>
      <c r="T53" s="19">
        <f t="shared" ref="T53" si="177">R53*S53</f>
        <v>427</v>
      </c>
      <c r="U53" s="8">
        <v>2.96</v>
      </c>
      <c r="V53" s="8"/>
    </row>
    <row r="54" spans="1:22" ht="15.75" x14ac:dyDescent="0.25">
      <c r="A54" s="12">
        <v>43</v>
      </c>
      <c r="B54" s="22" t="s">
        <v>274</v>
      </c>
      <c r="C54" s="8" t="s">
        <v>194</v>
      </c>
      <c r="D54" s="8" t="s">
        <v>32</v>
      </c>
      <c r="E54" s="8">
        <v>259.3</v>
      </c>
      <c r="F54" s="8">
        <f t="shared" ref="F54" si="178">E53</f>
        <v>239.9</v>
      </c>
      <c r="G54" s="17">
        <f t="shared" ref="G54" si="179">E54-F54</f>
        <v>19.400000000000006</v>
      </c>
      <c r="H54" s="17">
        <f t="shared" si="132"/>
        <v>1</v>
      </c>
      <c r="I54" s="17">
        <f t="shared" ref="I54" si="180">G54*H54</f>
        <v>19.400000000000006</v>
      </c>
      <c r="J54" s="8">
        <v>4063.8</v>
      </c>
      <c r="K54" s="8">
        <f t="shared" ref="K54" si="181">J53</f>
        <v>3701.1</v>
      </c>
      <c r="L54" s="17">
        <f t="shared" ref="L54" si="182">J54-K54</f>
        <v>362.70000000000027</v>
      </c>
      <c r="M54" s="17">
        <f t="shared" si="136"/>
        <v>1</v>
      </c>
      <c r="N54" s="17">
        <f t="shared" ref="N54" si="183">L54*M54</f>
        <v>362.70000000000027</v>
      </c>
      <c r="O54" s="17">
        <f t="shared" ref="O54" si="184">N54-I54</f>
        <v>343.3000000000003</v>
      </c>
      <c r="P54" s="8">
        <v>11295</v>
      </c>
      <c r="Q54" s="17">
        <f t="shared" ref="Q54" si="185">P53</f>
        <v>10926</v>
      </c>
      <c r="R54" s="19">
        <f t="shared" ref="R54" si="186">P54-Q54</f>
        <v>369</v>
      </c>
      <c r="S54" s="17">
        <f t="shared" si="141"/>
        <v>1</v>
      </c>
      <c r="T54" s="19">
        <f t="shared" ref="T54" si="187">R54*S54</f>
        <v>369</v>
      </c>
      <c r="U54" s="8">
        <v>3.78</v>
      </c>
      <c r="V54" s="8"/>
    </row>
    <row r="55" spans="1:22" ht="15.75" x14ac:dyDescent="0.25">
      <c r="A55" s="12">
        <v>44</v>
      </c>
      <c r="B55" s="22" t="s">
        <v>276</v>
      </c>
      <c r="C55" s="8" t="s">
        <v>194</v>
      </c>
      <c r="D55" s="8" t="s">
        <v>32</v>
      </c>
      <c r="E55" s="8">
        <v>289.2</v>
      </c>
      <c r="F55" s="8">
        <f t="shared" ref="F55" si="188">E54</f>
        <v>259.3</v>
      </c>
      <c r="G55" s="17">
        <f t="shared" ref="G55" si="189">E55-F55</f>
        <v>29.899999999999977</v>
      </c>
      <c r="H55" s="17">
        <f t="shared" si="132"/>
        <v>1</v>
      </c>
      <c r="I55" s="17">
        <f t="shared" ref="I55" si="190">G55*H55</f>
        <v>29.899999999999977</v>
      </c>
      <c r="J55" s="8">
        <v>4425.5</v>
      </c>
      <c r="K55" s="8">
        <f t="shared" ref="K55" si="191">J54</f>
        <v>4063.8</v>
      </c>
      <c r="L55" s="17">
        <f t="shared" ref="L55" si="192">J55-K55</f>
        <v>361.69999999999982</v>
      </c>
      <c r="M55" s="17">
        <f t="shared" si="136"/>
        <v>1</v>
      </c>
      <c r="N55" s="17">
        <f t="shared" ref="N55" si="193">L55*M55</f>
        <v>361.69999999999982</v>
      </c>
      <c r="O55" s="17">
        <f t="shared" ref="O55" si="194">N55-I55</f>
        <v>331.79999999999984</v>
      </c>
      <c r="P55" s="8">
        <v>11661.3</v>
      </c>
      <c r="Q55" s="17">
        <f t="shared" ref="Q55" si="195">P54</f>
        <v>11295</v>
      </c>
      <c r="R55" s="19">
        <f t="shared" ref="R55" si="196">P55-Q55</f>
        <v>366.29999999999927</v>
      </c>
      <c r="S55" s="17">
        <f t="shared" si="141"/>
        <v>1</v>
      </c>
      <c r="T55" s="19">
        <f t="shared" ref="T55" si="197">R55*S55</f>
        <v>366.29999999999927</v>
      </c>
      <c r="U55" s="8">
        <v>3.46</v>
      </c>
      <c r="V55" s="8">
        <v>0.95</v>
      </c>
    </row>
    <row r="56" spans="1:22" ht="15.75" x14ac:dyDescent="0.25">
      <c r="A56" s="12">
        <v>45</v>
      </c>
      <c r="B56" s="22" t="s">
        <v>262</v>
      </c>
      <c r="C56" s="8" t="s">
        <v>194</v>
      </c>
      <c r="D56" s="8" t="s">
        <v>32</v>
      </c>
      <c r="E56" s="8">
        <v>313.2</v>
      </c>
      <c r="F56" s="8">
        <f t="shared" ref="F56" si="198">E55</f>
        <v>289.2</v>
      </c>
      <c r="G56" s="17">
        <f t="shared" ref="G56" si="199">E56-F56</f>
        <v>24</v>
      </c>
      <c r="H56" s="17">
        <f t="shared" si="132"/>
        <v>1</v>
      </c>
      <c r="I56" s="17">
        <f t="shared" ref="I56" si="200">G56*H56</f>
        <v>24</v>
      </c>
      <c r="J56" s="8">
        <v>4852.2</v>
      </c>
      <c r="K56" s="8">
        <f t="shared" ref="K56" si="201">J55</f>
        <v>4425.5</v>
      </c>
      <c r="L56" s="17">
        <f t="shared" ref="L56" si="202">J56-K56</f>
        <v>426.69999999999982</v>
      </c>
      <c r="M56" s="17">
        <f t="shared" si="136"/>
        <v>1</v>
      </c>
      <c r="N56" s="17">
        <f t="shared" ref="N56" si="203">L56*M56</f>
        <v>426.69999999999982</v>
      </c>
      <c r="O56" s="17">
        <f t="shared" ref="O56" si="204">N56-I56</f>
        <v>402.69999999999982</v>
      </c>
      <c r="P56" s="8">
        <v>12102.3</v>
      </c>
      <c r="Q56" s="17">
        <f t="shared" ref="Q56" si="205">P55</f>
        <v>11661.3</v>
      </c>
      <c r="R56" s="19">
        <f t="shared" ref="R56" si="206">P56-Q56</f>
        <v>441</v>
      </c>
      <c r="S56" s="17">
        <f t="shared" si="141"/>
        <v>1</v>
      </c>
      <c r="T56" s="19">
        <f t="shared" ref="T56" si="207">R56*S56</f>
        <v>441</v>
      </c>
      <c r="U56" s="8">
        <v>3.41</v>
      </c>
      <c r="V56" s="8"/>
    </row>
    <row r="57" spans="1:22" ht="15.75" x14ac:dyDescent="0.25">
      <c r="A57" s="12">
        <v>46</v>
      </c>
      <c r="B57" s="22" t="s">
        <v>277</v>
      </c>
      <c r="C57" s="8" t="s">
        <v>194</v>
      </c>
      <c r="D57" s="8" t="s">
        <v>32</v>
      </c>
      <c r="E57" s="8">
        <v>327.10000000000002</v>
      </c>
      <c r="F57" s="8">
        <f t="shared" ref="F57" si="208">E56</f>
        <v>313.2</v>
      </c>
      <c r="G57" s="17">
        <f t="shared" ref="G57" si="209">E57-F57</f>
        <v>13.900000000000034</v>
      </c>
      <c r="H57" s="17">
        <f t="shared" si="132"/>
        <v>1</v>
      </c>
      <c r="I57" s="17">
        <f t="shared" ref="I57" si="210">G57*H57</f>
        <v>13.900000000000034</v>
      </c>
      <c r="J57" s="8">
        <v>5316.2</v>
      </c>
      <c r="K57" s="8">
        <f t="shared" ref="K57" si="211">J56</f>
        <v>4852.2</v>
      </c>
      <c r="L57" s="17">
        <f t="shared" ref="L57" si="212">J57-K57</f>
        <v>464</v>
      </c>
      <c r="M57" s="17">
        <f t="shared" si="136"/>
        <v>1</v>
      </c>
      <c r="N57" s="17">
        <f t="shared" ref="N57" si="213">L57*M57</f>
        <v>464</v>
      </c>
      <c r="O57" s="17">
        <f t="shared" ref="O57" si="214">N57-I57</f>
        <v>450.09999999999997</v>
      </c>
      <c r="P57" s="8">
        <v>12581.4</v>
      </c>
      <c r="Q57" s="17">
        <f t="shared" ref="Q57" si="215">P56</f>
        <v>12102.3</v>
      </c>
      <c r="R57" s="19">
        <f t="shared" ref="R57" si="216">P57-Q57</f>
        <v>479.10000000000036</v>
      </c>
      <c r="S57" s="17">
        <f t="shared" si="141"/>
        <v>1</v>
      </c>
      <c r="T57" s="19">
        <f t="shared" ref="T57" si="217">R57*S57</f>
        <v>479.10000000000036</v>
      </c>
      <c r="U57" s="8">
        <v>1.1499999999999999</v>
      </c>
      <c r="V57" s="8"/>
    </row>
    <row r="58" spans="1:22" ht="15.75" x14ac:dyDescent="0.25">
      <c r="A58" s="12">
        <v>47</v>
      </c>
      <c r="B58" s="22" t="s">
        <v>278</v>
      </c>
      <c r="C58" s="8" t="s">
        <v>194</v>
      </c>
      <c r="D58" s="8" t="s">
        <v>32</v>
      </c>
      <c r="E58" s="8">
        <v>338.8</v>
      </c>
      <c r="F58" s="8">
        <f t="shared" ref="F58" si="218">E57</f>
        <v>327.10000000000002</v>
      </c>
      <c r="G58" s="17">
        <f t="shared" ref="G58" si="219">E58-F58</f>
        <v>11.699999999999989</v>
      </c>
      <c r="H58" s="17">
        <f t="shared" si="132"/>
        <v>1</v>
      </c>
      <c r="I58" s="17">
        <f t="shared" ref="I58" si="220">G58*H58</f>
        <v>11.699999999999989</v>
      </c>
      <c r="J58" s="8">
        <v>5735.3</v>
      </c>
      <c r="K58" s="8">
        <f t="shared" ref="K58" si="221">J57</f>
        <v>5316.2</v>
      </c>
      <c r="L58" s="17">
        <f t="shared" ref="L58" si="222">J58-K58</f>
        <v>419.10000000000036</v>
      </c>
      <c r="M58" s="17">
        <f t="shared" si="136"/>
        <v>1</v>
      </c>
      <c r="N58" s="17">
        <f t="shared" ref="N58" si="223">L58*M58</f>
        <v>419.10000000000036</v>
      </c>
      <c r="O58" s="17">
        <f t="shared" ref="O58" si="224">N58-I58</f>
        <v>407.40000000000038</v>
      </c>
      <c r="P58" s="8">
        <v>13015.5</v>
      </c>
      <c r="Q58" s="17">
        <f t="shared" ref="Q58" si="225">P57</f>
        <v>12581.4</v>
      </c>
      <c r="R58" s="19">
        <f t="shared" ref="R58" si="226">P58-Q58</f>
        <v>434.10000000000036</v>
      </c>
      <c r="S58" s="17">
        <f t="shared" si="141"/>
        <v>1</v>
      </c>
      <c r="T58" s="19">
        <f t="shared" ref="T58" si="227">R58*S58</f>
        <v>434.10000000000036</v>
      </c>
      <c r="U58" s="8">
        <v>1.24</v>
      </c>
      <c r="V58" s="8">
        <v>0.93</v>
      </c>
    </row>
    <row r="59" spans="1:22" ht="15.75" x14ac:dyDescent="0.25">
      <c r="A59" s="12">
        <v>48</v>
      </c>
      <c r="B59" s="22" t="s">
        <v>279</v>
      </c>
      <c r="C59" s="8" t="s">
        <v>194</v>
      </c>
      <c r="D59" s="8" t="s">
        <v>32</v>
      </c>
      <c r="E59" s="8">
        <v>348.8</v>
      </c>
      <c r="F59" s="8">
        <f t="shared" ref="F59" si="228">E58</f>
        <v>338.8</v>
      </c>
      <c r="G59" s="17">
        <f t="shared" ref="G59" si="229">E59-F59</f>
        <v>10</v>
      </c>
      <c r="H59" s="17">
        <f t="shared" si="132"/>
        <v>1</v>
      </c>
      <c r="I59" s="17">
        <f t="shared" ref="I59" si="230">G59*H59</f>
        <v>10</v>
      </c>
      <c r="J59" s="8">
        <v>6163.3</v>
      </c>
      <c r="K59" s="8">
        <f t="shared" ref="K59" si="231">J58</f>
        <v>5735.3</v>
      </c>
      <c r="L59" s="17">
        <f t="shared" ref="L59" si="232">J59-K59</f>
        <v>428</v>
      </c>
      <c r="M59" s="17">
        <f t="shared" si="136"/>
        <v>1</v>
      </c>
      <c r="N59" s="17">
        <f t="shared" ref="N59" si="233">L59*M59</f>
        <v>428</v>
      </c>
      <c r="O59" s="17">
        <f t="shared" ref="O59" si="234">N59-I59</f>
        <v>418</v>
      </c>
      <c r="P59" s="8">
        <v>13455.5</v>
      </c>
      <c r="Q59" s="17">
        <f t="shared" ref="Q59" si="235">P58</f>
        <v>13015.5</v>
      </c>
      <c r="R59" s="19">
        <f t="shared" ref="R59" si="236">P59-Q59</f>
        <v>440</v>
      </c>
      <c r="S59" s="17">
        <f t="shared" si="141"/>
        <v>1</v>
      </c>
      <c r="T59" s="19">
        <f t="shared" ref="T59" si="237">R59*S59</f>
        <v>440</v>
      </c>
      <c r="U59" s="8"/>
      <c r="V59" s="8"/>
    </row>
    <row r="60" spans="1:22" ht="15.75" x14ac:dyDescent="0.25">
      <c r="A60" s="12">
        <v>49</v>
      </c>
      <c r="B60" s="22" t="s">
        <v>280</v>
      </c>
      <c r="C60" s="8" t="s">
        <v>194</v>
      </c>
      <c r="D60" s="8" t="s">
        <v>32</v>
      </c>
      <c r="E60" s="8">
        <v>371.8</v>
      </c>
      <c r="F60" s="8">
        <f t="shared" ref="F60" si="238">E59</f>
        <v>348.8</v>
      </c>
      <c r="G60" s="17">
        <f t="shared" ref="G60" si="239">E60-F60</f>
        <v>23</v>
      </c>
      <c r="H60" s="17">
        <f t="shared" si="132"/>
        <v>1</v>
      </c>
      <c r="I60" s="17">
        <f t="shared" ref="I60" si="240">G60*H60</f>
        <v>23</v>
      </c>
      <c r="J60" s="8">
        <v>6462.8</v>
      </c>
      <c r="K60" s="8">
        <f t="shared" ref="K60" si="241">J59</f>
        <v>6163.3</v>
      </c>
      <c r="L60" s="17">
        <f t="shared" ref="L60" si="242">J60-K60</f>
        <v>299.5</v>
      </c>
      <c r="M60" s="17">
        <f t="shared" si="136"/>
        <v>1</v>
      </c>
      <c r="N60" s="17">
        <f t="shared" ref="N60" si="243">L60*M60</f>
        <v>299.5</v>
      </c>
      <c r="O60" s="17">
        <f t="shared" ref="O60" si="244">N60-I60</f>
        <v>276.5</v>
      </c>
      <c r="P60" s="8">
        <v>13773.2</v>
      </c>
      <c r="Q60" s="17">
        <f t="shared" ref="Q60" si="245">P59</f>
        <v>13455.5</v>
      </c>
      <c r="R60" s="19">
        <f t="shared" ref="R60" si="246">P60-Q60</f>
        <v>317.70000000000073</v>
      </c>
      <c r="S60" s="17">
        <f t="shared" si="141"/>
        <v>1</v>
      </c>
      <c r="T60" s="19">
        <f t="shared" ref="T60" si="247">R60*S60</f>
        <v>317.70000000000073</v>
      </c>
      <c r="U60" s="8">
        <v>2.8</v>
      </c>
      <c r="V60" s="8">
        <v>0.94</v>
      </c>
    </row>
    <row r="61" spans="1:22" ht="15.75" x14ac:dyDescent="0.25">
      <c r="A61" s="12">
        <v>50</v>
      </c>
      <c r="B61" s="22" t="s">
        <v>281</v>
      </c>
      <c r="C61" s="8" t="s">
        <v>194</v>
      </c>
      <c r="D61" s="8" t="s">
        <v>32</v>
      </c>
      <c r="E61" s="8">
        <v>400.7</v>
      </c>
      <c r="F61" s="8">
        <f t="shared" ref="F61" si="248">E60</f>
        <v>371.8</v>
      </c>
      <c r="G61" s="17">
        <f t="shared" ref="G61" si="249">E61-F61</f>
        <v>28.899999999999977</v>
      </c>
      <c r="H61" s="17">
        <f t="shared" si="132"/>
        <v>1</v>
      </c>
      <c r="I61" s="17">
        <f t="shared" ref="I61" si="250">G61*H61</f>
        <v>28.899999999999977</v>
      </c>
      <c r="J61" s="8">
        <v>6721</v>
      </c>
      <c r="K61" s="8">
        <f t="shared" ref="K61" si="251">J60</f>
        <v>6462.8</v>
      </c>
      <c r="L61" s="17">
        <f t="shared" ref="L61" si="252">J61-K61</f>
        <v>258.19999999999982</v>
      </c>
      <c r="M61" s="17">
        <f t="shared" si="136"/>
        <v>1</v>
      </c>
      <c r="N61" s="17">
        <f t="shared" ref="N61" si="253">L61*M61</f>
        <v>258.19999999999982</v>
      </c>
      <c r="O61" s="17">
        <f t="shared" ref="O61" si="254">N61-I61</f>
        <v>229.29999999999984</v>
      </c>
      <c r="P61" s="8">
        <v>14048.5</v>
      </c>
      <c r="Q61" s="17">
        <f t="shared" ref="Q61" si="255">P60</f>
        <v>13773.2</v>
      </c>
      <c r="R61" s="19">
        <f t="shared" ref="R61" si="256">P61-Q61</f>
        <v>275.29999999999927</v>
      </c>
      <c r="S61" s="17">
        <f t="shared" si="141"/>
        <v>1</v>
      </c>
      <c r="T61" s="19">
        <f t="shared" ref="T61" si="257">R61*S61</f>
        <v>275.29999999999927</v>
      </c>
      <c r="U61" s="8">
        <v>2.38</v>
      </c>
      <c r="V61" s="8">
        <v>0.95</v>
      </c>
    </row>
    <row r="62" spans="1:22" ht="15.75" x14ac:dyDescent="0.25">
      <c r="A62" s="12">
        <v>51</v>
      </c>
      <c r="B62" s="22" t="s">
        <v>282</v>
      </c>
      <c r="C62" s="8" t="s">
        <v>194</v>
      </c>
      <c r="D62" s="8" t="s">
        <v>32</v>
      </c>
      <c r="E62" s="8">
        <v>418.6</v>
      </c>
      <c r="F62" s="8">
        <f t="shared" ref="F62" si="258">E61</f>
        <v>400.7</v>
      </c>
      <c r="G62" s="17">
        <f t="shared" ref="G62" si="259">E62-F62</f>
        <v>17.900000000000034</v>
      </c>
      <c r="H62" s="17">
        <f t="shared" si="132"/>
        <v>1</v>
      </c>
      <c r="I62" s="17">
        <f t="shared" ref="I62" si="260">G62*H62</f>
        <v>17.900000000000034</v>
      </c>
      <c r="J62" s="8">
        <v>7010.4</v>
      </c>
      <c r="K62" s="8">
        <f t="shared" ref="K62" si="261">J61</f>
        <v>6721</v>
      </c>
      <c r="L62" s="17">
        <f t="shared" ref="L62" si="262">J62-K62</f>
        <v>289.39999999999964</v>
      </c>
      <c r="M62" s="17">
        <f t="shared" si="136"/>
        <v>1</v>
      </c>
      <c r="N62" s="17">
        <f t="shared" ref="N62" si="263">L62*M62</f>
        <v>289.39999999999964</v>
      </c>
      <c r="O62" s="17">
        <f t="shared" ref="O62" si="264">N62-I62</f>
        <v>271.4999999999996</v>
      </c>
      <c r="P62" s="8">
        <f>P61+325</f>
        <v>14373.5</v>
      </c>
      <c r="Q62" s="17">
        <f t="shared" ref="Q62" si="265">P61</f>
        <v>14048.5</v>
      </c>
      <c r="R62" s="19">
        <f t="shared" ref="R62" si="266">P62-Q62</f>
        <v>325</v>
      </c>
      <c r="S62" s="17">
        <f t="shared" si="141"/>
        <v>1</v>
      </c>
      <c r="T62" s="19">
        <f t="shared" ref="T62" si="267">R62*S62</f>
        <v>325</v>
      </c>
      <c r="U62" s="8">
        <v>2.74</v>
      </c>
      <c r="V62" s="8">
        <v>0.91</v>
      </c>
    </row>
    <row r="63" spans="1:22" ht="15.75" x14ac:dyDescent="0.25">
      <c r="A63" s="12">
        <v>52</v>
      </c>
      <c r="B63" s="22" t="s">
        <v>283</v>
      </c>
      <c r="C63" s="8" t="s">
        <v>194</v>
      </c>
      <c r="D63" s="8" t="s">
        <v>32</v>
      </c>
      <c r="E63" s="8">
        <v>452.8</v>
      </c>
      <c r="F63" s="8">
        <f t="shared" ref="F63" si="268">E62</f>
        <v>418.6</v>
      </c>
      <c r="G63" s="17">
        <f t="shared" ref="G63" si="269">E63-F63</f>
        <v>34.199999999999989</v>
      </c>
      <c r="H63" s="17">
        <f t="shared" si="132"/>
        <v>1</v>
      </c>
      <c r="I63" s="17">
        <f t="shared" ref="I63" si="270">G63*H63</f>
        <v>34.199999999999989</v>
      </c>
      <c r="J63" s="8">
        <v>7286.3</v>
      </c>
      <c r="K63" s="8">
        <f t="shared" ref="K63:K64" si="271">J62</f>
        <v>7010.4</v>
      </c>
      <c r="L63" s="17">
        <f t="shared" ref="L63" si="272">J63-K63</f>
        <v>275.90000000000055</v>
      </c>
      <c r="M63" s="17">
        <f t="shared" si="136"/>
        <v>1</v>
      </c>
      <c r="N63" s="17">
        <f t="shared" ref="N63" si="273">L63*M63</f>
        <v>275.90000000000055</v>
      </c>
      <c r="O63" s="17">
        <f t="shared" ref="O63" si="274">N63-I63</f>
        <v>241.70000000000056</v>
      </c>
      <c r="P63" s="8">
        <v>14654</v>
      </c>
      <c r="Q63" s="17">
        <f t="shared" ref="Q63" si="275">P62</f>
        <v>14373.5</v>
      </c>
      <c r="R63" s="19">
        <f t="shared" ref="R63" si="276">P63-Q63</f>
        <v>280.5</v>
      </c>
      <c r="S63" s="17">
        <f t="shared" si="141"/>
        <v>1</v>
      </c>
      <c r="T63" s="19">
        <f t="shared" ref="T63" si="277">R63*S63</f>
        <v>280.5</v>
      </c>
      <c r="U63" s="8">
        <v>1.18</v>
      </c>
      <c r="V63" s="8">
        <v>0.85</v>
      </c>
    </row>
    <row r="64" spans="1:22" ht="15.75" x14ac:dyDescent="0.25">
      <c r="A64" s="12">
        <v>53</v>
      </c>
      <c r="B64" s="22" t="s">
        <v>284</v>
      </c>
      <c r="C64" s="8" t="s">
        <v>194</v>
      </c>
      <c r="D64" s="8" t="s">
        <v>32</v>
      </c>
      <c r="E64" s="8">
        <v>467.9</v>
      </c>
      <c r="F64" s="8">
        <f t="shared" ref="F64" si="278">E63</f>
        <v>452.8</v>
      </c>
      <c r="G64" s="17">
        <f t="shared" ref="G64" si="279">E64-F64</f>
        <v>15.099999999999966</v>
      </c>
      <c r="H64" s="17">
        <f t="shared" si="132"/>
        <v>1</v>
      </c>
      <c r="I64" s="17">
        <f t="shared" ref="I64" si="280">G64*H64</f>
        <v>15.099999999999966</v>
      </c>
      <c r="J64" s="8">
        <v>7647.1</v>
      </c>
      <c r="K64" s="8">
        <f t="shared" si="271"/>
        <v>7286.3</v>
      </c>
      <c r="L64" s="17">
        <f t="shared" ref="L64" si="281">J64-K64</f>
        <v>360.80000000000018</v>
      </c>
      <c r="M64" s="17">
        <f t="shared" si="136"/>
        <v>1</v>
      </c>
      <c r="N64" s="17">
        <f t="shared" ref="N64" si="282">L64*M64</f>
        <v>360.80000000000018</v>
      </c>
      <c r="O64" s="17">
        <f t="shared" ref="O64" si="283">N64-I64</f>
        <v>345.70000000000022</v>
      </c>
      <c r="P64" s="8">
        <v>15030</v>
      </c>
      <c r="Q64" s="17">
        <f t="shared" ref="Q64" si="284">P63</f>
        <v>14654</v>
      </c>
      <c r="R64" s="19">
        <f t="shared" ref="R64" si="285">P64-Q64</f>
        <v>376</v>
      </c>
      <c r="S64" s="17">
        <f t="shared" si="141"/>
        <v>1</v>
      </c>
      <c r="T64" s="19">
        <f t="shared" ref="T64" si="286">R64*S64</f>
        <v>376</v>
      </c>
      <c r="U64" s="8">
        <v>0.21</v>
      </c>
      <c r="V64" s="8">
        <v>0.98</v>
      </c>
    </row>
    <row r="65" spans="1:22" ht="15.75" x14ac:dyDescent="0.25">
      <c r="A65" s="12">
        <v>54</v>
      </c>
      <c r="B65" s="22" t="s">
        <v>286</v>
      </c>
      <c r="C65" s="8" t="s">
        <v>194</v>
      </c>
      <c r="D65" s="8" t="s">
        <v>32</v>
      </c>
      <c r="E65" s="8">
        <v>485.9</v>
      </c>
      <c r="F65" s="8">
        <f t="shared" ref="F65" si="287">E64</f>
        <v>467.9</v>
      </c>
      <c r="G65" s="17">
        <f t="shared" ref="G65" si="288">E65-F65</f>
        <v>18</v>
      </c>
      <c r="H65" s="17">
        <f t="shared" si="132"/>
        <v>1</v>
      </c>
      <c r="I65" s="17">
        <f t="shared" ref="I65" si="289">G65*H65</f>
        <v>18</v>
      </c>
      <c r="J65" s="8">
        <v>7997.1</v>
      </c>
      <c r="K65" s="8">
        <f t="shared" ref="K65" si="290">J64</f>
        <v>7647.1</v>
      </c>
      <c r="L65" s="17">
        <f t="shared" ref="L65" si="291">J65-K65</f>
        <v>350</v>
      </c>
      <c r="M65" s="17">
        <f t="shared" si="136"/>
        <v>1</v>
      </c>
      <c r="N65" s="17">
        <f t="shared" ref="N65" si="292">L65*M65</f>
        <v>350</v>
      </c>
      <c r="O65" s="17">
        <f t="shared" ref="O65" si="293">N65-I65</f>
        <v>332</v>
      </c>
      <c r="P65" s="8">
        <v>15398</v>
      </c>
      <c r="Q65" s="17">
        <f t="shared" ref="Q65" si="294">P64</f>
        <v>15030</v>
      </c>
      <c r="R65" s="19">
        <f t="shared" ref="R65" si="295">P65-Q65</f>
        <v>368</v>
      </c>
      <c r="S65" s="17">
        <f t="shared" si="141"/>
        <v>1</v>
      </c>
      <c r="T65" s="19">
        <f t="shared" ref="T65" si="296">R65*S65</f>
        <v>368</v>
      </c>
      <c r="U65" s="8">
        <v>0.3</v>
      </c>
      <c r="V65" s="8">
        <v>0.98</v>
      </c>
    </row>
    <row r="66" spans="1:22" ht="15.75" x14ac:dyDescent="0.25">
      <c r="A66" s="12">
        <v>55</v>
      </c>
      <c r="B66" s="22" t="s">
        <v>288</v>
      </c>
      <c r="C66" s="8" t="s">
        <v>194</v>
      </c>
      <c r="D66" s="8" t="s">
        <v>32</v>
      </c>
      <c r="E66" s="8">
        <v>518.1</v>
      </c>
      <c r="F66" s="8">
        <f t="shared" ref="F66" si="297">E65</f>
        <v>485.9</v>
      </c>
      <c r="G66" s="17">
        <f t="shared" ref="G66" si="298">E66-F66</f>
        <v>32.200000000000045</v>
      </c>
      <c r="H66" s="17">
        <f t="shared" si="132"/>
        <v>1</v>
      </c>
      <c r="I66" s="17">
        <f t="shared" ref="I66" si="299">G66*H66</f>
        <v>32.200000000000045</v>
      </c>
      <c r="J66" s="8">
        <v>8235.7999999999993</v>
      </c>
      <c r="K66" s="8">
        <f t="shared" ref="K66" si="300">J65</f>
        <v>7997.1</v>
      </c>
      <c r="L66" s="17">
        <f t="shared" ref="L66" si="301">J66-K66</f>
        <v>238.69999999999891</v>
      </c>
      <c r="M66" s="17">
        <f t="shared" si="136"/>
        <v>1</v>
      </c>
      <c r="N66" s="17">
        <f t="shared" ref="N66" si="302">L66*M66</f>
        <v>238.69999999999891</v>
      </c>
      <c r="O66" s="17">
        <f t="shared" ref="O66" si="303">N66-I66</f>
        <v>206.49999999999886</v>
      </c>
      <c r="P66" s="8">
        <v>15658.4</v>
      </c>
      <c r="Q66" s="17">
        <f t="shared" ref="Q66" si="304">P65</f>
        <v>15398</v>
      </c>
      <c r="R66" s="19">
        <f t="shared" ref="R66" si="305">P66-Q66</f>
        <v>260.39999999999964</v>
      </c>
      <c r="S66" s="17">
        <f t="shared" si="141"/>
        <v>1</v>
      </c>
      <c r="T66" s="19">
        <f t="shared" ref="T66" si="306">R66*S66</f>
        <v>260.39999999999964</v>
      </c>
      <c r="U66" s="8">
        <v>2.4E-2</v>
      </c>
      <c r="V66" s="8">
        <v>0.85</v>
      </c>
    </row>
    <row r="67" spans="1:22" ht="15.75" x14ac:dyDescent="0.25">
      <c r="A67" s="12">
        <v>56</v>
      </c>
      <c r="B67" s="22" t="s">
        <v>289</v>
      </c>
      <c r="C67" s="8" t="s">
        <v>194</v>
      </c>
      <c r="D67" s="8" t="s">
        <v>32</v>
      </c>
      <c r="E67" s="8">
        <v>534.5</v>
      </c>
      <c r="F67" s="8">
        <f t="shared" ref="F67" si="307">E66</f>
        <v>518.1</v>
      </c>
      <c r="G67" s="17">
        <f t="shared" ref="G67:G77" si="308">E67-F67</f>
        <v>16.399999999999977</v>
      </c>
      <c r="H67" s="17">
        <f t="shared" si="132"/>
        <v>1</v>
      </c>
      <c r="I67" s="17">
        <f t="shared" ref="I67:I77" si="309">G67*H67</f>
        <v>16.399999999999977</v>
      </c>
      <c r="J67" s="8">
        <v>8628</v>
      </c>
      <c r="K67" s="8">
        <f t="shared" ref="K67" si="310">J66</f>
        <v>8235.7999999999993</v>
      </c>
      <c r="L67" s="17">
        <f t="shared" ref="L67" si="311">J67-K67</f>
        <v>392.20000000000073</v>
      </c>
      <c r="M67" s="17">
        <f t="shared" si="136"/>
        <v>1</v>
      </c>
      <c r="N67" s="17">
        <f t="shared" ref="N67" si="312">L67*M67</f>
        <v>392.20000000000073</v>
      </c>
      <c r="O67" s="17">
        <f t="shared" ref="O67" si="313">N67-I67</f>
        <v>375.80000000000075</v>
      </c>
      <c r="P67" s="8">
        <v>16007</v>
      </c>
      <c r="Q67" s="17">
        <f t="shared" ref="Q67" si="314">P66</f>
        <v>15658.4</v>
      </c>
      <c r="R67" s="19">
        <f t="shared" ref="R67" si="315">P67-Q67</f>
        <v>348.60000000000036</v>
      </c>
      <c r="S67" s="17">
        <f t="shared" si="141"/>
        <v>1</v>
      </c>
      <c r="T67" s="19">
        <f t="shared" ref="T67" si="316">R67*S67</f>
        <v>348.60000000000036</v>
      </c>
      <c r="U67" s="8">
        <v>0.34</v>
      </c>
      <c r="V67" s="8">
        <v>0.99</v>
      </c>
    </row>
    <row r="68" spans="1:22" ht="15.75" x14ac:dyDescent="0.25">
      <c r="A68" s="12">
        <v>57</v>
      </c>
      <c r="B68" s="22" t="s">
        <v>290</v>
      </c>
      <c r="C68" s="8" t="s">
        <v>194</v>
      </c>
      <c r="D68" s="8" t="s">
        <v>32</v>
      </c>
      <c r="E68" s="8">
        <f>E67+17.5</f>
        <v>552</v>
      </c>
      <c r="F68" s="8">
        <f t="shared" ref="F68" si="317">E67</f>
        <v>534.5</v>
      </c>
      <c r="G68" s="17">
        <f t="shared" si="308"/>
        <v>17.5</v>
      </c>
      <c r="H68" s="17">
        <f t="shared" si="132"/>
        <v>1</v>
      </c>
      <c r="I68" s="17">
        <f t="shared" si="309"/>
        <v>17.5</v>
      </c>
      <c r="J68" s="8">
        <v>8902</v>
      </c>
      <c r="K68" s="8">
        <f t="shared" ref="K68" si="318">J67</f>
        <v>8628</v>
      </c>
      <c r="L68" s="17">
        <f t="shared" ref="L68" si="319">J68-K68</f>
        <v>274</v>
      </c>
      <c r="M68" s="17">
        <f t="shared" si="136"/>
        <v>1</v>
      </c>
      <c r="N68" s="17">
        <f t="shared" ref="N68" si="320">L68*M68</f>
        <v>274</v>
      </c>
      <c r="O68" s="17">
        <f t="shared" ref="O68" si="321">N68-I68</f>
        <v>256.5</v>
      </c>
      <c r="P68" s="8">
        <v>16282</v>
      </c>
      <c r="Q68" s="17">
        <f t="shared" ref="Q68" si="322">P67</f>
        <v>16007</v>
      </c>
      <c r="R68" s="19">
        <f t="shared" ref="R68" si="323">P68-Q68</f>
        <v>275</v>
      </c>
      <c r="S68" s="17">
        <f t="shared" si="141"/>
        <v>1</v>
      </c>
      <c r="T68" s="19">
        <f t="shared" ref="T68" si="324">R68*S68</f>
        <v>275</v>
      </c>
      <c r="U68" s="8">
        <v>0.3</v>
      </c>
      <c r="V68" s="8">
        <v>0.9</v>
      </c>
    </row>
    <row r="69" spans="1:22" ht="15.75" x14ac:dyDescent="0.25">
      <c r="A69" s="12">
        <v>58</v>
      </c>
      <c r="B69" s="22" t="s">
        <v>291</v>
      </c>
      <c r="C69" s="8" t="s">
        <v>194</v>
      </c>
      <c r="D69" s="8" t="s">
        <v>32</v>
      </c>
      <c r="E69" s="8">
        <v>574.4</v>
      </c>
      <c r="F69" s="8">
        <f t="shared" ref="F69:F76" si="325">E68</f>
        <v>552</v>
      </c>
      <c r="G69" s="17">
        <f t="shared" si="308"/>
        <v>22.399999999999977</v>
      </c>
      <c r="H69" s="17">
        <f t="shared" si="132"/>
        <v>1</v>
      </c>
      <c r="I69" s="17">
        <f t="shared" si="309"/>
        <v>22.399999999999977</v>
      </c>
      <c r="J69" s="8">
        <v>9479.1</v>
      </c>
      <c r="K69" s="8">
        <f t="shared" ref="K69:K76" si="326">J68</f>
        <v>8902</v>
      </c>
      <c r="L69" s="17">
        <f t="shared" ref="L69:L76" si="327">J69-K69</f>
        <v>577.10000000000036</v>
      </c>
      <c r="M69" s="17">
        <f t="shared" si="136"/>
        <v>1</v>
      </c>
      <c r="N69" s="17">
        <f t="shared" ref="N69:N76" si="328">L69*M69</f>
        <v>577.10000000000036</v>
      </c>
      <c r="O69" s="17">
        <f t="shared" ref="O69:O76" si="329">N69-I69</f>
        <v>554.70000000000039</v>
      </c>
      <c r="P69" s="8">
        <v>16964.900000000001</v>
      </c>
      <c r="Q69" s="17">
        <f t="shared" ref="Q69:Q76" si="330">P68</f>
        <v>16282</v>
      </c>
      <c r="R69" s="19">
        <f t="shared" ref="R69:R76" si="331">P69-Q69</f>
        <v>682.90000000000146</v>
      </c>
      <c r="S69" s="17">
        <f t="shared" si="141"/>
        <v>1</v>
      </c>
      <c r="T69" s="19">
        <f t="shared" ref="T69:T76" si="332">R69*S69</f>
        <v>682.90000000000146</v>
      </c>
      <c r="U69" s="8">
        <v>1.63</v>
      </c>
      <c r="V69" s="8">
        <v>0.95</v>
      </c>
    </row>
    <row r="70" spans="1:22" ht="15.75" x14ac:dyDescent="0.25">
      <c r="A70" s="12">
        <v>59</v>
      </c>
      <c r="B70" s="22" t="s">
        <v>292</v>
      </c>
      <c r="C70" s="8" t="s">
        <v>194</v>
      </c>
      <c r="D70" s="8" t="s">
        <v>32</v>
      </c>
      <c r="E70" s="8">
        <v>598.29999999999995</v>
      </c>
      <c r="F70" s="8">
        <f t="shared" si="325"/>
        <v>574.4</v>
      </c>
      <c r="G70" s="17">
        <f t="shared" si="308"/>
        <v>23.899999999999977</v>
      </c>
      <c r="H70" s="17">
        <f t="shared" si="132"/>
        <v>1</v>
      </c>
      <c r="I70" s="17">
        <f t="shared" si="309"/>
        <v>23.899999999999977</v>
      </c>
      <c r="J70" s="8">
        <v>10012.5</v>
      </c>
      <c r="K70" s="8">
        <f t="shared" si="326"/>
        <v>9479.1</v>
      </c>
      <c r="L70" s="17">
        <f t="shared" si="327"/>
        <v>533.39999999999964</v>
      </c>
      <c r="M70" s="17">
        <f t="shared" si="136"/>
        <v>1</v>
      </c>
      <c r="N70" s="17">
        <f t="shared" si="328"/>
        <v>533.39999999999964</v>
      </c>
      <c r="O70" s="17">
        <f t="shared" si="329"/>
        <v>509.49999999999966</v>
      </c>
      <c r="P70" s="8">
        <v>17513.599999999999</v>
      </c>
      <c r="Q70" s="17">
        <f t="shared" si="330"/>
        <v>16964.900000000001</v>
      </c>
      <c r="R70" s="19">
        <f t="shared" si="331"/>
        <v>548.69999999999709</v>
      </c>
      <c r="S70" s="17">
        <f t="shared" si="141"/>
        <v>1</v>
      </c>
      <c r="T70" s="19">
        <f t="shared" si="332"/>
        <v>548.69999999999709</v>
      </c>
      <c r="U70" s="8">
        <v>0.19</v>
      </c>
      <c r="V70" s="8">
        <v>0.99</v>
      </c>
    </row>
    <row r="71" spans="1:22" ht="15.75" x14ac:dyDescent="0.25">
      <c r="A71" s="164"/>
      <c r="B71" s="22"/>
      <c r="C71" s="8"/>
      <c r="D71" s="8"/>
      <c r="E71" s="8"/>
      <c r="F71" s="8"/>
      <c r="G71" s="162"/>
      <c r="H71" s="162"/>
      <c r="I71" s="162"/>
      <c r="J71" s="8"/>
      <c r="K71" s="8"/>
      <c r="L71" s="162"/>
      <c r="M71" s="162"/>
      <c r="N71" s="162"/>
      <c r="O71" s="162"/>
      <c r="P71" s="8"/>
      <c r="Q71" s="162"/>
      <c r="R71" s="161"/>
      <c r="S71" s="162"/>
      <c r="T71" s="161"/>
      <c r="U71" s="8"/>
      <c r="V71" s="8"/>
    </row>
    <row r="72" spans="1:22" ht="15.75" x14ac:dyDescent="0.25">
      <c r="A72" s="12">
        <v>60</v>
      </c>
      <c r="B72" s="22" t="s">
        <v>293</v>
      </c>
      <c r="C72" s="8" t="s">
        <v>194</v>
      </c>
      <c r="D72" s="8" t="s">
        <v>32</v>
      </c>
      <c r="E72" s="8">
        <v>614</v>
      </c>
      <c r="F72" s="8">
        <f>E70</f>
        <v>598.29999999999995</v>
      </c>
      <c r="G72" s="17">
        <f t="shared" si="308"/>
        <v>15.700000000000045</v>
      </c>
      <c r="H72" s="17">
        <f>H70</f>
        <v>1</v>
      </c>
      <c r="I72" s="17">
        <f t="shared" si="309"/>
        <v>15.700000000000045</v>
      </c>
      <c r="J72" s="8">
        <v>10342.5</v>
      </c>
      <c r="K72" s="8">
        <f>J70</f>
        <v>10012.5</v>
      </c>
      <c r="L72" s="17">
        <f t="shared" si="327"/>
        <v>330</v>
      </c>
      <c r="M72" s="17">
        <f>M70</f>
        <v>1</v>
      </c>
      <c r="N72" s="17">
        <f t="shared" si="328"/>
        <v>330</v>
      </c>
      <c r="O72" s="17">
        <f t="shared" si="329"/>
        <v>314.29999999999995</v>
      </c>
      <c r="P72" s="8">
        <v>17863.099999999999</v>
      </c>
      <c r="Q72" s="17">
        <f>P70</f>
        <v>17513.599999999999</v>
      </c>
      <c r="R72" s="19">
        <f t="shared" si="331"/>
        <v>349.5</v>
      </c>
      <c r="S72" s="17">
        <f>S70</f>
        <v>1</v>
      </c>
      <c r="T72" s="19">
        <f t="shared" si="332"/>
        <v>349.5</v>
      </c>
      <c r="U72" s="8">
        <v>0.22</v>
      </c>
      <c r="V72" s="8">
        <v>0.98</v>
      </c>
    </row>
    <row r="73" spans="1:22" ht="15.75" x14ac:dyDescent="0.25">
      <c r="A73" s="12">
        <v>61</v>
      </c>
      <c r="B73" s="22" t="s">
        <v>294</v>
      </c>
      <c r="C73" s="8" t="s">
        <v>194</v>
      </c>
      <c r="D73" s="8" t="s">
        <v>32</v>
      </c>
      <c r="E73" s="8">
        <v>633.9</v>
      </c>
      <c r="F73" s="8">
        <f t="shared" si="325"/>
        <v>614</v>
      </c>
      <c r="G73" s="17">
        <f t="shared" si="308"/>
        <v>19.899999999999977</v>
      </c>
      <c r="H73" s="17">
        <f t="shared" si="132"/>
        <v>1</v>
      </c>
      <c r="I73" s="17">
        <f t="shared" si="309"/>
        <v>19.899999999999977</v>
      </c>
      <c r="J73" s="8">
        <v>10558.7</v>
      </c>
      <c r="K73" s="8">
        <f t="shared" si="326"/>
        <v>10342.5</v>
      </c>
      <c r="L73" s="17">
        <f t="shared" si="327"/>
        <v>216.20000000000073</v>
      </c>
      <c r="M73" s="17">
        <f t="shared" si="136"/>
        <v>1</v>
      </c>
      <c r="N73" s="17">
        <f t="shared" si="328"/>
        <v>216.20000000000073</v>
      </c>
      <c r="O73" s="17">
        <f t="shared" si="329"/>
        <v>196.30000000000075</v>
      </c>
      <c r="P73" s="8">
        <v>18098.099999999999</v>
      </c>
      <c r="Q73" s="17">
        <f t="shared" si="330"/>
        <v>17863.099999999999</v>
      </c>
      <c r="R73" s="19">
        <f t="shared" si="331"/>
        <v>235</v>
      </c>
      <c r="S73" s="17">
        <f t="shared" si="141"/>
        <v>1</v>
      </c>
      <c r="T73" s="19">
        <f t="shared" si="332"/>
        <v>235</v>
      </c>
      <c r="U73" s="8">
        <v>0.19</v>
      </c>
      <c r="V73" s="8">
        <v>0.86</v>
      </c>
    </row>
    <row r="74" spans="1:22" ht="15.75" x14ac:dyDescent="0.25">
      <c r="A74" s="12">
        <v>62</v>
      </c>
      <c r="B74" s="22" t="s">
        <v>295</v>
      </c>
      <c r="C74" s="8" t="s">
        <v>194</v>
      </c>
      <c r="D74" s="8" t="s">
        <v>32</v>
      </c>
      <c r="E74" s="8">
        <v>661.4</v>
      </c>
      <c r="F74" s="8">
        <f t="shared" si="325"/>
        <v>633.9</v>
      </c>
      <c r="G74" s="17">
        <f t="shared" si="308"/>
        <v>27.5</v>
      </c>
      <c r="H74" s="17">
        <f t="shared" si="132"/>
        <v>1</v>
      </c>
      <c r="I74" s="17">
        <f t="shared" si="309"/>
        <v>27.5</v>
      </c>
      <c r="J74" s="8">
        <v>10798.2</v>
      </c>
      <c r="K74" s="8">
        <f t="shared" si="326"/>
        <v>10558.7</v>
      </c>
      <c r="L74" s="17">
        <f t="shared" si="327"/>
        <v>239.5</v>
      </c>
      <c r="M74" s="17">
        <f t="shared" si="136"/>
        <v>1</v>
      </c>
      <c r="N74" s="17">
        <f t="shared" si="328"/>
        <v>239.5</v>
      </c>
      <c r="O74" s="17">
        <f t="shared" si="329"/>
        <v>212</v>
      </c>
      <c r="P74" s="8">
        <v>18358.599999999999</v>
      </c>
      <c r="Q74" s="17">
        <f t="shared" si="330"/>
        <v>18098.099999999999</v>
      </c>
      <c r="R74" s="19">
        <f t="shared" si="331"/>
        <v>260.5</v>
      </c>
      <c r="S74" s="17">
        <f t="shared" si="141"/>
        <v>1</v>
      </c>
      <c r="T74" s="19">
        <f t="shared" si="332"/>
        <v>260.5</v>
      </c>
      <c r="U74" s="8">
        <v>0.28999999999999998</v>
      </c>
      <c r="V74" s="8">
        <v>0.92</v>
      </c>
    </row>
    <row r="75" spans="1:22" ht="15.75" x14ac:dyDescent="0.25">
      <c r="A75" s="12">
        <v>63</v>
      </c>
      <c r="B75" s="22" t="s">
        <v>296</v>
      </c>
      <c r="C75" s="8" t="s">
        <v>194</v>
      </c>
      <c r="D75" s="8" t="s">
        <v>32</v>
      </c>
      <c r="E75" s="8">
        <v>676.7</v>
      </c>
      <c r="F75" s="8">
        <f t="shared" si="325"/>
        <v>661.4</v>
      </c>
      <c r="G75" s="17">
        <f t="shared" si="308"/>
        <v>15.300000000000068</v>
      </c>
      <c r="H75" s="17">
        <f t="shared" si="132"/>
        <v>1</v>
      </c>
      <c r="I75" s="17">
        <f t="shared" si="309"/>
        <v>15.300000000000068</v>
      </c>
      <c r="J75" s="8">
        <v>11004.3</v>
      </c>
      <c r="K75" s="8">
        <f t="shared" si="326"/>
        <v>10798.2</v>
      </c>
      <c r="L75" s="17">
        <f t="shared" si="327"/>
        <v>206.09999999999854</v>
      </c>
      <c r="M75" s="17">
        <f t="shared" si="136"/>
        <v>1</v>
      </c>
      <c r="N75" s="17">
        <f t="shared" si="328"/>
        <v>206.09999999999854</v>
      </c>
      <c r="O75" s="17">
        <f t="shared" si="329"/>
        <v>190.79999999999848</v>
      </c>
      <c r="P75" s="8">
        <v>18578.5</v>
      </c>
      <c r="Q75" s="17">
        <f t="shared" si="330"/>
        <v>18358.599999999999</v>
      </c>
      <c r="R75" s="19">
        <f t="shared" si="331"/>
        <v>219.90000000000146</v>
      </c>
      <c r="S75" s="17">
        <f t="shared" si="141"/>
        <v>1</v>
      </c>
      <c r="T75" s="19">
        <f t="shared" si="332"/>
        <v>219.90000000000146</v>
      </c>
      <c r="U75" s="8">
        <v>0.16</v>
      </c>
      <c r="V75" s="8">
        <v>0.97</v>
      </c>
    </row>
    <row r="76" spans="1:22" ht="15.75" x14ac:dyDescent="0.25">
      <c r="A76" s="12">
        <v>64</v>
      </c>
      <c r="B76" s="22" t="s">
        <v>297</v>
      </c>
      <c r="C76" s="8" t="s">
        <v>194</v>
      </c>
      <c r="D76" s="8" t="s">
        <v>32</v>
      </c>
      <c r="E76" s="8">
        <v>691.9</v>
      </c>
      <c r="F76" s="8">
        <f t="shared" si="325"/>
        <v>676.7</v>
      </c>
      <c r="G76" s="17">
        <f t="shared" si="308"/>
        <v>15.199999999999932</v>
      </c>
      <c r="H76" s="17">
        <f t="shared" si="132"/>
        <v>1</v>
      </c>
      <c r="I76" s="17">
        <f t="shared" si="309"/>
        <v>15.199999999999932</v>
      </c>
      <c r="J76" s="8">
        <v>11222.9</v>
      </c>
      <c r="K76" s="8">
        <f t="shared" si="326"/>
        <v>11004.3</v>
      </c>
      <c r="L76" s="17">
        <f t="shared" si="327"/>
        <v>218.60000000000036</v>
      </c>
      <c r="M76" s="17">
        <f t="shared" si="136"/>
        <v>1</v>
      </c>
      <c r="N76" s="17">
        <f t="shared" si="328"/>
        <v>218.60000000000036</v>
      </c>
      <c r="O76" s="17">
        <f t="shared" si="329"/>
        <v>203.40000000000043</v>
      </c>
      <c r="P76" s="8">
        <v>18811.400000000001</v>
      </c>
      <c r="Q76" s="17">
        <f t="shared" si="330"/>
        <v>18578.5</v>
      </c>
      <c r="R76" s="19">
        <f t="shared" si="331"/>
        <v>232.90000000000146</v>
      </c>
      <c r="S76" s="17">
        <f t="shared" si="141"/>
        <v>1</v>
      </c>
      <c r="T76" s="19">
        <f t="shared" si="332"/>
        <v>232.90000000000146</v>
      </c>
      <c r="U76" s="8">
        <v>0.19</v>
      </c>
      <c r="V76" s="8">
        <v>0.91</v>
      </c>
    </row>
    <row r="77" spans="1:22" ht="15.75" x14ac:dyDescent="0.25">
      <c r="A77" s="12">
        <v>65</v>
      </c>
      <c r="B77" s="22" t="s">
        <v>298</v>
      </c>
      <c r="C77" s="8" t="s">
        <v>194</v>
      </c>
      <c r="D77" s="8" t="s">
        <v>32</v>
      </c>
      <c r="E77" s="8">
        <v>706.9</v>
      </c>
      <c r="F77" s="8">
        <f t="shared" ref="F77" si="333">E76</f>
        <v>691.9</v>
      </c>
      <c r="G77" s="17">
        <f t="shared" si="308"/>
        <v>15</v>
      </c>
      <c r="H77" s="17">
        <f t="shared" si="132"/>
        <v>1</v>
      </c>
      <c r="I77" s="17">
        <f t="shared" si="309"/>
        <v>15</v>
      </c>
      <c r="J77" s="8">
        <v>11432.9</v>
      </c>
      <c r="K77" s="8">
        <f t="shared" ref="K77" si="334">J76</f>
        <v>11222.9</v>
      </c>
      <c r="L77" s="17">
        <f t="shared" ref="L77" si="335">J77-K77</f>
        <v>210</v>
      </c>
      <c r="M77" s="17">
        <f t="shared" si="136"/>
        <v>1</v>
      </c>
      <c r="N77" s="17">
        <f t="shared" ref="N77" si="336">L77*M77</f>
        <v>210</v>
      </c>
      <c r="O77" s="17">
        <f t="shared" ref="O77" si="337">N77-I77</f>
        <v>195</v>
      </c>
      <c r="P77" s="8">
        <v>19026.400000000001</v>
      </c>
      <c r="Q77" s="17">
        <f t="shared" ref="Q77" si="338">P76</f>
        <v>18811.400000000001</v>
      </c>
      <c r="R77" s="19">
        <f t="shared" ref="R77" si="339">P77-Q77</f>
        <v>215</v>
      </c>
      <c r="S77" s="17">
        <f t="shared" si="141"/>
        <v>1</v>
      </c>
      <c r="T77" s="19">
        <f t="shared" ref="T77" si="340">R77*S77</f>
        <v>215</v>
      </c>
      <c r="U77" s="8">
        <v>0.18</v>
      </c>
      <c r="V77" s="8">
        <v>0.9</v>
      </c>
    </row>
    <row r="78" spans="1:22" ht="15.75" x14ac:dyDescent="0.25">
      <c r="A78" s="12">
        <v>66</v>
      </c>
      <c r="B78" s="22" t="s">
        <v>299</v>
      </c>
      <c r="C78" s="8" t="s">
        <v>194</v>
      </c>
      <c r="D78" s="8" t="s">
        <v>32</v>
      </c>
      <c r="E78" s="8">
        <v>737.7</v>
      </c>
      <c r="F78" s="8">
        <f t="shared" ref="F78" si="341">E77</f>
        <v>706.9</v>
      </c>
      <c r="G78" s="17">
        <f t="shared" ref="G78" si="342">E78-F78</f>
        <v>30.800000000000068</v>
      </c>
      <c r="H78" s="17">
        <f t="shared" si="132"/>
        <v>1</v>
      </c>
      <c r="I78" s="17">
        <f t="shared" ref="I78" si="343">G78*H78</f>
        <v>30.800000000000068</v>
      </c>
      <c r="J78" s="8">
        <v>11965</v>
      </c>
      <c r="K78" s="8">
        <f t="shared" ref="K78" si="344">J77</f>
        <v>11432.9</v>
      </c>
      <c r="L78" s="17">
        <f t="shared" ref="L78" si="345">J78-K78</f>
        <v>532.10000000000036</v>
      </c>
      <c r="M78" s="17">
        <f t="shared" si="136"/>
        <v>1</v>
      </c>
      <c r="N78" s="17">
        <f t="shared" ref="N78" si="346">L78*M78</f>
        <v>532.10000000000036</v>
      </c>
      <c r="O78" s="17">
        <f t="shared" ref="O78" si="347">N78-I78</f>
        <v>501.3000000000003</v>
      </c>
      <c r="P78" s="8">
        <v>19593</v>
      </c>
      <c r="Q78" s="17">
        <f t="shared" ref="Q78" si="348">P77</f>
        <v>19026.400000000001</v>
      </c>
      <c r="R78" s="19">
        <f t="shared" ref="R78" si="349">P78-Q78</f>
        <v>566.59999999999854</v>
      </c>
      <c r="S78" s="17">
        <f t="shared" si="141"/>
        <v>1</v>
      </c>
      <c r="T78" s="19">
        <f t="shared" ref="T78" si="350">R78*S78</f>
        <v>566.59999999999854</v>
      </c>
      <c r="U78" s="8">
        <v>0.77</v>
      </c>
      <c r="V78" s="8">
        <v>0.95</v>
      </c>
    </row>
    <row r="79" spans="1:22" ht="15.75" x14ac:dyDescent="0.25">
      <c r="A79" s="105">
        <v>67</v>
      </c>
      <c r="B79" s="22" t="s">
        <v>300</v>
      </c>
      <c r="C79" s="8" t="s">
        <v>194</v>
      </c>
      <c r="D79" s="8" t="s">
        <v>32</v>
      </c>
      <c r="E79" s="8">
        <v>765.5</v>
      </c>
      <c r="F79" s="8">
        <f t="shared" ref="F79" si="351">E78</f>
        <v>737.7</v>
      </c>
      <c r="G79" s="106">
        <f t="shared" ref="G79" si="352">E79-F79</f>
        <v>27.799999999999955</v>
      </c>
      <c r="H79" s="106">
        <f t="shared" si="132"/>
        <v>1</v>
      </c>
      <c r="I79" s="106">
        <f t="shared" ref="I79" si="353">G79*H79</f>
        <v>27.799999999999955</v>
      </c>
      <c r="J79" s="8">
        <v>12268.5</v>
      </c>
      <c r="K79" s="8">
        <f t="shared" ref="K79" si="354">J78</f>
        <v>11965</v>
      </c>
      <c r="L79" s="106">
        <f t="shared" ref="L79" si="355">J79-K79</f>
        <v>303.5</v>
      </c>
      <c r="M79" s="106">
        <f t="shared" si="136"/>
        <v>1</v>
      </c>
      <c r="N79" s="106">
        <f t="shared" ref="N79" si="356">L79*M79</f>
        <v>303.5</v>
      </c>
      <c r="O79" s="106">
        <f t="shared" ref="O79" si="357">N79-I79</f>
        <v>275.70000000000005</v>
      </c>
      <c r="P79" s="8">
        <v>19912.099999999999</v>
      </c>
      <c r="Q79" s="106">
        <f t="shared" ref="Q79" si="358">P78</f>
        <v>19593</v>
      </c>
      <c r="R79" s="111">
        <f t="shared" ref="R79" si="359">P79-Q79</f>
        <v>319.09999999999854</v>
      </c>
      <c r="S79" s="106">
        <f t="shared" si="141"/>
        <v>1</v>
      </c>
      <c r="T79" s="111">
        <f t="shared" ref="T79" si="360">R79*S79</f>
        <v>319.09999999999854</v>
      </c>
      <c r="U79" s="8">
        <v>1.18</v>
      </c>
      <c r="V79" s="8">
        <v>0.99</v>
      </c>
    </row>
    <row r="80" spans="1:22" ht="15.75" x14ac:dyDescent="0.25">
      <c r="A80" s="105">
        <v>68</v>
      </c>
      <c r="B80" s="22" t="s">
        <v>301</v>
      </c>
      <c r="C80" s="8" t="s">
        <v>194</v>
      </c>
      <c r="D80" s="8" t="s">
        <v>32</v>
      </c>
      <c r="E80" s="8">
        <v>772</v>
      </c>
      <c r="F80" s="8">
        <f t="shared" ref="F80:F82" si="361">E79</f>
        <v>765.5</v>
      </c>
      <c r="G80" s="106">
        <f t="shared" ref="G80:G82" si="362">E80-F80</f>
        <v>6.5</v>
      </c>
      <c r="H80" s="106">
        <f t="shared" si="132"/>
        <v>1</v>
      </c>
      <c r="I80" s="106">
        <f t="shared" ref="I80:I82" si="363">G80*H80</f>
        <v>6.5</v>
      </c>
      <c r="J80" s="8">
        <v>12625</v>
      </c>
      <c r="K80" s="8">
        <f t="shared" ref="K80:K82" si="364">J79</f>
        <v>12268.5</v>
      </c>
      <c r="L80" s="106">
        <f t="shared" ref="L80:L82" si="365">J80-K80</f>
        <v>356.5</v>
      </c>
      <c r="M80" s="106">
        <f t="shared" si="136"/>
        <v>1</v>
      </c>
      <c r="N80" s="106">
        <f t="shared" ref="N80:N82" si="366">L80*M80</f>
        <v>356.5</v>
      </c>
      <c r="O80" s="106">
        <f t="shared" ref="O80:O82" si="367">N80-I80</f>
        <v>350</v>
      </c>
      <c r="P80" s="8">
        <v>20286</v>
      </c>
      <c r="Q80" s="106">
        <f t="shared" ref="Q80:Q82" si="368">P79</f>
        <v>19912.099999999999</v>
      </c>
      <c r="R80" s="111">
        <f t="shared" ref="R80:R82" si="369">P80-Q80</f>
        <v>373.90000000000146</v>
      </c>
      <c r="S80" s="106">
        <f t="shared" si="141"/>
        <v>1</v>
      </c>
      <c r="T80" s="111">
        <f t="shared" ref="T80:T82" si="370">R80*S80</f>
        <v>373.90000000000146</v>
      </c>
      <c r="U80" s="8">
        <v>0.16</v>
      </c>
      <c r="V80" s="8">
        <v>0.97</v>
      </c>
    </row>
    <row r="81" spans="1:22" ht="15.75" x14ac:dyDescent="0.25">
      <c r="A81" s="105">
        <v>69</v>
      </c>
      <c r="B81" s="22" t="s">
        <v>302</v>
      </c>
      <c r="C81" s="8" t="s">
        <v>194</v>
      </c>
      <c r="D81" s="8" t="s">
        <v>32</v>
      </c>
      <c r="E81" s="8">
        <v>797.7</v>
      </c>
      <c r="F81" s="8">
        <f t="shared" si="361"/>
        <v>772</v>
      </c>
      <c r="G81" s="106">
        <f t="shared" si="362"/>
        <v>25.700000000000045</v>
      </c>
      <c r="H81" s="106">
        <f t="shared" si="132"/>
        <v>1</v>
      </c>
      <c r="I81" s="106">
        <f t="shared" si="363"/>
        <v>25.700000000000045</v>
      </c>
      <c r="J81" s="8">
        <v>12974.8</v>
      </c>
      <c r="K81" s="8">
        <f t="shared" si="364"/>
        <v>12625</v>
      </c>
      <c r="L81" s="106">
        <f t="shared" si="365"/>
        <v>349.79999999999927</v>
      </c>
      <c r="M81" s="106">
        <f t="shared" si="136"/>
        <v>1</v>
      </c>
      <c r="N81" s="106">
        <f t="shared" si="366"/>
        <v>349.79999999999927</v>
      </c>
      <c r="O81" s="106">
        <f t="shared" si="367"/>
        <v>324.09999999999923</v>
      </c>
      <c r="P81" s="8">
        <v>20650.599999999999</v>
      </c>
      <c r="Q81" s="106">
        <f t="shared" si="368"/>
        <v>20286</v>
      </c>
      <c r="R81" s="111">
        <f t="shared" si="369"/>
        <v>364.59999999999854</v>
      </c>
      <c r="S81" s="106">
        <f t="shared" si="141"/>
        <v>1</v>
      </c>
      <c r="T81" s="111">
        <f t="shared" si="370"/>
        <v>364.59999999999854</v>
      </c>
      <c r="U81" s="8">
        <v>0.27</v>
      </c>
      <c r="V81" s="8">
        <v>0.97</v>
      </c>
    </row>
    <row r="82" spans="1:22" ht="15.75" x14ac:dyDescent="0.25">
      <c r="A82" s="105">
        <v>70</v>
      </c>
      <c r="B82" s="116" t="s">
        <v>303</v>
      </c>
      <c r="C82" s="8" t="s">
        <v>194</v>
      </c>
      <c r="D82" s="8" t="s">
        <v>32</v>
      </c>
      <c r="E82" s="8">
        <v>804.7</v>
      </c>
      <c r="F82" s="8">
        <f t="shared" si="361"/>
        <v>797.7</v>
      </c>
      <c r="G82" s="106">
        <f t="shared" si="362"/>
        <v>7</v>
      </c>
      <c r="H82" s="106">
        <f t="shared" si="132"/>
        <v>1</v>
      </c>
      <c r="I82" s="106">
        <f t="shared" si="363"/>
        <v>7</v>
      </c>
      <c r="J82" s="8">
        <v>13425.5</v>
      </c>
      <c r="K82" s="8">
        <f t="shared" si="364"/>
        <v>12974.8</v>
      </c>
      <c r="L82" s="106">
        <f t="shared" si="365"/>
        <v>450.70000000000073</v>
      </c>
      <c r="M82" s="106">
        <f t="shared" si="136"/>
        <v>1</v>
      </c>
      <c r="N82" s="106">
        <f t="shared" si="366"/>
        <v>450.70000000000073</v>
      </c>
      <c r="O82" s="106">
        <f t="shared" si="367"/>
        <v>443.70000000000073</v>
      </c>
      <c r="P82" s="8">
        <v>21118.3</v>
      </c>
      <c r="Q82" s="106">
        <f t="shared" si="368"/>
        <v>20650.599999999999</v>
      </c>
      <c r="R82" s="111">
        <f t="shared" si="369"/>
        <v>467.70000000000073</v>
      </c>
      <c r="S82" s="106">
        <f t="shared" si="141"/>
        <v>1</v>
      </c>
      <c r="T82" s="111">
        <f t="shared" si="370"/>
        <v>467.70000000000073</v>
      </c>
      <c r="U82" s="8">
        <v>0.15</v>
      </c>
      <c r="V82" s="8">
        <v>0.99</v>
      </c>
    </row>
    <row r="83" spans="1:22" ht="15.75" x14ac:dyDescent="0.25">
      <c r="A83" s="120">
        <v>71</v>
      </c>
      <c r="B83" s="116" t="s">
        <v>305</v>
      </c>
      <c r="C83" s="8" t="s">
        <v>194</v>
      </c>
      <c r="D83" s="8" t="s">
        <v>32</v>
      </c>
      <c r="E83" s="8">
        <v>824.4</v>
      </c>
      <c r="F83" s="8">
        <f t="shared" ref="F83" si="371">E82</f>
        <v>804.7</v>
      </c>
      <c r="G83" s="119">
        <f t="shared" ref="G83" si="372">E83-F83</f>
        <v>19.699999999999932</v>
      </c>
      <c r="H83" s="119">
        <f t="shared" si="132"/>
        <v>1</v>
      </c>
      <c r="I83" s="119">
        <f t="shared" ref="I83" si="373">G83*H83</f>
        <v>19.699999999999932</v>
      </c>
      <c r="J83" s="8">
        <v>13975.5</v>
      </c>
      <c r="K83" s="8">
        <f t="shared" ref="K83" si="374">J82</f>
        <v>13425.5</v>
      </c>
      <c r="L83" s="119">
        <f t="shared" ref="L83" si="375">J83-K83</f>
        <v>550</v>
      </c>
      <c r="M83" s="119">
        <f t="shared" si="136"/>
        <v>1</v>
      </c>
      <c r="N83" s="119">
        <f t="shared" ref="N83" si="376">L83*M83</f>
        <v>550</v>
      </c>
      <c r="O83" s="119">
        <f t="shared" ref="O83" si="377">N83-I83</f>
        <v>530.30000000000007</v>
      </c>
      <c r="P83" s="8">
        <v>21670.5</v>
      </c>
      <c r="Q83" s="119">
        <f t="shared" ref="Q83" si="378">P82</f>
        <v>21118.3</v>
      </c>
      <c r="R83" s="118">
        <f t="shared" ref="R83" si="379">P83-Q83</f>
        <v>552.20000000000073</v>
      </c>
      <c r="S83" s="119">
        <f t="shared" si="141"/>
        <v>1</v>
      </c>
      <c r="T83" s="118">
        <f t="shared" ref="T83" si="380">R83*S83</f>
        <v>552.20000000000073</v>
      </c>
      <c r="U83" s="8">
        <v>3.24</v>
      </c>
      <c r="V83" s="8">
        <v>0.96</v>
      </c>
    </row>
    <row r="84" spans="1:22" ht="15.75" x14ac:dyDescent="0.25">
      <c r="A84" s="164"/>
      <c r="B84" s="116"/>
      <c r="C84" s="8"/>
      <c r="D84" s="8"/>
      <c r="E84" s="8"/>
      <c r="F84" s="8"/>
      <c r="G84" s="162"/>
      <c r="H84" s="162"/>
      <c r="I84" s="162"/>
      <c r="J84" s="8"/>
      <c r="K84" s="8"/>
      <c r="L84" s="162"/>
      <c r="M84" s="162"/>
      <c r="N84" s="162"/>
      <c r="O84" s="162"/>
      <c r="P84" s="8"/>
      <c r="Q84" s="162"/>
      <c r="R84" s="161"/>
      <c r="S84" s="162"/>
      <c r="T84" s="161"/>
      <c r="U84" s="8"/>
      <c r="V84" s="8"/>
    </row>
    <row r="85" spans="1:22" ht="15.75" x14ac:dyDescent="0.25">
      <c r="A85" s="126">
        <v>72</v>
      </c>
      <c r="B85" s="116" t="s">
        <v>306</v>
      </c>
      <c r="C85" s="8" t="s">
        <v>194</v>
      </c>
      <c r="D85" s="8" t="s">
        <v>32</v>
      </c>
      <c r="E85" s="8">
        <v>839.5</v>
      </c>
      <c r="F85" s="8">
        <f t="shared" ref="F85" si="381">E83</f>
        <v>824.4</v>
      </c>
      <c r="G85" s="127">
        <f t="shared" ref="G85" si="382">E85-F85</f>
        <v>15.100000000000023</v>
      </c>
      <c r="H85" s="127">
        <f>H83</f>
        <v>1</v>
      </c>
      <c r="I85" s="127">
        <f t="shared" ref="I85" si="383">G85*H85</f>
        <v>15.100000000000023</v>
      </c>
      <c r="J85" s="8">
        <v>14337.4</v>
      </c>
      <c r="K85" s="8">
        <f t="shared" ref="K85" si="384">J83</f>
        <v>13975.5</v>
      </c>
      <c r="L85" s="127">
        <f t="shared" ref="L85" si="385">J85-K85</f>
        <v>361.89999999999964</v>
      </c>
      <c r="M85" s="127">
        <f>M83</f>
        <v>1</v>
      </c>
      <c r="N85" s="127">
        <f t="shared" ref="N85" si="386">L85*M85</f>
        <v>361.89999999999964</v>
      </c>
      <c r="O85" s="127">
        <f t="shared" ref="O85" si="387">N85-I85</f>
        <v>346.79999999999961</v>
      </c>
      <c r="P85" s="8">
        <v>22069.200000000001</v>
      </c>
      <c r="Q85" s="127">
        <f t="shared" ref="Q85" si="388">P83</f>
        <v>21670.5</v>
      </c>
      <c r="R85" s="129">
        <f t="shared" ref="R85" si="389">P85-Q85</f>
        <v>398.70000000000073</v>
      </c>
      <c r="S85" s="127">
        <f>S83</f>
        <v>1</v>
      </c>
      <c r="T85" s="129">
        <f t="shared" ref="T85" si="390">R85*S85</f>
        <v>398.70000000000073</v>
      </c>
      <c r="U85" s="8">
        <v>3.11</v>
      </c>
      <c r="V85" s="8">
        <v>0.92</v>
      </c>
    </row>
    <row r="86" spans="1:22" ht="15.75" x14ac:dyDescent="0.25">
      <c r="A86" s="135">
        <v>73</v>
      </c>
      <c r="B86" s="116" t="s">
        <v>307</v>
      </c>
      <c r="C86" s="8" t="s">
        <v>194</v>
      </c>
      <c r="D86" s="8" t="s">
        <v>32</v>
      </c>
      <c r="E86" s="8">
        <v>859.3</v>
      </c>
      <c r="F86" s="8">
        <f t="shared" ref="F86" si="391">E85</f>
        <v>839.5</v>
      </c>
      <c r="G86" s="136">
        <f t="shared" ref="G86" si="392">E86-F86</f>
        <v>19.799999999999955</v>
      </c>
      <c r="H86" s="136">
        <f t="shared" si="132"/>
        <v>1</v>
      </c>
      <c r="I86" s="136">
        <f t="shared" ref="I86" si="393">G86*H86</f>
        <v>19.799999999999955</v>
      </c>
      <c r="J86" s="8">
        <v>14645</v>
      </c>
      <c r="K86" s="8">
        <f t="shared" ref="K86" si="394">J85</f>
        <v>14337.4</v>
      </c>
      <c r="L86" s="136">
        <f t="shared" ref="L86" si="395">J86-K86</f>
        <v>307.60000000000036</v>
      </c>
      <c r="M86" s="136">
        <f t="shared" si="136"/>
        <v>1</v>
      </c>
      <c r="N86" s="136">
        <f t="shared" ref="N86" si="396">L86*M86</f>
        <v>307.60000000000036</v>
      </c>
      <c r="O86" s="136">
        <f t="shared" ref="O86" si="397">N86-I86</f>
        <v>287.80000000000041</v>
      </c>
      <c r="P86" s="8">
        <v>22399.5</v>
      </c>
      <c r="Q86" s="136">
        <f t="shared" ref="Q86" si="398">P85</f>
        <v>22069.200000000001</v>
      </c>
      <c r="R86" s="138">
        <f t="shared" ref="R86" si="399">P86-Q86</f>
        <v>330.29999999999927</v>
      </c>
      <c r="S86" s="136">
        <f t="shared" si="141"/>
        <v>1</v>
      </c>
      <c r="T86" s="138">
        <f t="shared" ref="T86" si="400">R86*S86</f>
        <v>330.29999999999927</v>
      </c>
      <c r="U86" s="8">
        <v>0.24</v>
      </c>
      <c r="V86" s="8">
        <v>0.91</v>
      </c>
    </row>
    <row r="87" spans="1:22" ht="15.75" x14ac:dyDescent="0.25">
      <c r="A87" s="135">
        <v>74</v>
      </c>
      <c r="B87" s="116" t="s">
        <v>309</v>
      </c>
      <c r="C87" s="8" t="s">
        <v>194</v>
      </c>
      <c r="D87" s="8" t="s">
        <v>32</v>
      </c>
      <c r="E87" s="8">
        <v>892</v>
      </c>
      <c r="F87" s="8">
        <f t="shared" ref="F87" si="401">E86</f>
        <v>859.3</v>
      </c>
      <c r="G87" s="136">
        <f t="shared" ref="G87:G88" si="402">E87-F87</f>
        <v>32.700000000000045</v>
      </c>
      <c r="H87" s="136">
        <f t="shared" si="132"/>
        <v>1</v>
      </c>
      <c r="I87" s="136">
        <f t="shared" ref="I87:I88" si="403">G87*H87</f>
        <v>32.700000000000045</v>
      </c>
      <c r="J87" s="8">
        <v>14914.8</v>
      </c>
      <c r="K87" s="8">
        <f t="shared" ref="K87" si="404">J86</f>
        <v>14645</v>
      </c>
      <c r="L87" s="136">
        <f t="shared" ref="L87:L88" si="405">J87-K87</f>
        <v>269.79999999999927</v>
      </c>
      <c r="M87" s="136">
        <f t="shared" si="136"/>
        <v>1</v>
      </c>
      <c r="N87" s="136">
        <f t="shared" ref="N87:N88" si="406">L87*M87</f>
        <v>269.79999999999927</v>
      </c>
      <c r="O87" s="136">
        <f t="shared" ref="O87:O88" si="407">N87-I87</f>
        <v>237.09999999999923</v>
      </c>
      <c r="P87" s="8">
        <v>22693.7</v>
      </c>
      <c r="Q87" s="136">
        <f t="shared" ref="Q87" si="408">P86</f>
        <v>22399.5</v>
      </c>
      <c r="R87" s="138">
        <f t="shared" ref="R87:R88" si="409">P87-Q87</f>
        <v>294.20000000000073</v>
      </c>
      <c r="S87" s="136">
        <f t="shared" si="141"/>
        <v>1</v>
      </c>
      <c r="T87" s="138">
        <f t="shared" ref="T87:T88" si="410">R87*S87</f>
        <v>294.20000000000073</v>
      </c>
      <c r="U87" s="8">
        <v>0.24</v>
      </c>
      <c r="V87" s="8">
        <v>0.97</v>
      </c>
    </row>
    <row r="88" spans="1:22" ht="15.75" x14ac:dyDescent="0.25">
      <c r="A88" s="146">
        <v>75</v>
      </c>
      <c r="B88" s="116" t="s">
        <v>310</v>
      </c>
      <c r="C88" s="8" t="s">
        <v>194</v>
      </c>
      <c r="D88" s="8" t="s">
        <v>32</v>
      </c>
      <c r="E88" s="8">
        <v>925.8</v>
      </c>
      <c r="F88" s="8">
        <f t="shared" ref="F88" si="411">E86</f>
        <v>859.3</v>
      </c>
      <c r="G88" s="145">
        <f t="shared" si="402"/>
        <v>66.5</v>
      </c>
      <c r="H88" s="145">
        <f>H86</f>
        <v>1</v>
      </c>
      <c r="I88" s="145">
        <f t="shared" si="403"/>
        <v>66.5</v>
      </c>
      <c r="J88" s="8">
        <v>15096.5</v>
      </c>
      <c r="K88" s="8">
        <f t="shared" ref="K88" si="412">J86</f>
        <v>14645</v>
      </c>
      <c r="L88" s="145">
        <f t="shared" si="405"/>
        <v>451.5</v>
      </c>
      <c r="M88" s="145">
        <f>M86</f>
        <v>1</v>
      </c>
      <c r="N88" s="145">
        <f t="shared" si="406"/>
        <v>451.5</v>
      </c>
      <c r="O88" s="145">
        <f t="shared" si="407"/>
        <v>385</v>
      </c>
      <c r="P88" s="8">
        <v>22894.9</v>
      </c>
      <c r="Q88" s="145">
        <f t="shared" ref="Q88" si="413">P86</f>
        <v>22399.5</v>
      </c>
      <c r="R88" s="144">
        <f t="shared" si="409"/>
        <v>495.40000000000146</v>
      </c>
      <c r="S88" s="145">
        <f>S86</f>
        <v>1</v>
      </c>
      <c r="T88" s="144">
        <f t="shared" si="410"/>
        <v>495.40000000000146</v>
      </c>
      <c r="U88" s="8">
        <v>0.24</v>
      </c>
      <c r="V88" s="8">
        <v>0.95</v>
      </c>
    </row>
    <row r="89" spans="1:22" ht="15.75" x14ac:dyDescent="0.25">
      <c r="A89" s="139">
        <v>76</v>
      </c>
      <c r="B89" s="116" t="s">
        <v>316</v>
      </c>
      <c r="C89" s="8" t="s">
        <v>194</v>
      </c>
      <c r="D89" s="8" t="s">
        <v>32</v>
      </c>
      <c r="E89" s="8">
        <v>925.8</v>
      </c>
      <c r="F89" s="8">
        <f t="shared" ref="F89" si="414">E87</f>
        <v>892</v>
      </c>
      <c r="G89" s="140">
        <f t="shared" ref="G89" si="415">E89-F89</f>
        <v>33.799999999999955</v>
      </c>
      <c r="H89" s="140">
        <f>H87</f>
        <v>1</v>
      </c>
      <c r="I89" s="140">
        <f t="shared" ref="I89" si="416">G89*H89</f>
        <v>33.799999999999955</v>
      </c>
      <c r="J89" s="8">
        <v>15096.5</v>
      </c>
      <c r="K89" s="8">
        <f t="shared" ref="K89" si="417">J87</f>
        <v>14914.8</v>
      </c>
      <c r="L89" s="140">
        <f t="shared" ref="L89" si="418">J89-K89</f>
        <v>181.70000000000073</v>
      </c>
      <c r="M89" s="140">
        <f>M87</f>
        <v>1</v>
      </c>
      <c r="N89" s="140">
        <f t="shared" ref="N89" si="419">L89*M89</f>
        <v>181.70000000000073</v>
      </c>
      <c r="O89" s="140">
        <f t="shared" ref="O89" si="420">N89-I89</f>
        <v>147.90000000000077</v>
      </c>
      <c r="P89" s="8">
        <v>22894.9</v>
      </c>
      <c r="Q89" s="140">
        <f t="shared" ref="Q89" si="421">P87</f>
        <v>22693.7</v>
      </c>
      <c r="R89" s="142">
        <f t="shared" ref="R89" si="422">P89-Q89</f>
        <v>201.20000000000073</v>
      </c>
      <c r="S89" s="140">
        <f>S87</f>
        <v>1</v>
      </c>
      <c r="T89" s="142">
        <f t="shared" ref="T89" si="423">R89*S89</f>
        <v>201.20000000000073</v>
      </c>
      <c r="U89" s="8">
        <v>0.24</v>
      </c>
      <c r="V89" s="8">
        <v>0.95</v>
      </c>
    </row>
    <row r="90" spans="1:22" ht="15.75" x14ac:dyDescent="0.25">
      <c r="A90" s="155">
        <v>77</v>
      </c>
      <c r="B90" s="116" t="s">
        <v>319</v>
      </c>
      <c r="C90" s="8" t="s">
        <v>194</v>
      </c>
      <c r="D90" s="8" t="s">
        <v>32</v>
      </c>
      <c r="E90" s="8">
        <v>955.8</v>
      </c>
      <c r="F90" s="8">
        <v>925.8</v>
      </c>
      <c r="G90" s="156">
        <f t="shared" ref="G90:G92" si="424">E90-F90</f>
        <v>30</v>
      </c>
      <c r="H90" s="156">
        <f t="shared" ref="H90" si="425">H88</f>
        <v>1</v>
      </c>
      <c r="I90" s="156">
        <f t="shared" ref="I90:I92" si="426">G90*H90</f>
        <v>30</v>
      </c>
      <c r="J90" s="8">
        <v>15346.5</v>
      </c>
      <c r="K90" s="8">
        <v>15096.5</v>
      </c>
      <c r="L90" s="156">
        <f t="shared" ref="L90:L92" si="427">J90-K90</f>
        <v>250</v>
      </c>
      <c r="M90" s="156">
        <f t="shared" ref="M90" si="428">M88</f>
        <v>1</v>
      </c>
      <c r="N90" s="156">
        <f t="shared" ref="N90:N92" si="429">L90*M90</f>
        <v>250</v>
      </c>
      <c r="O90" s="156">
        <f t="shared" ref="O90:O92" si="430">N90-I90</f>
        <v>220</v>
      </c>
      <c r="P90" s="8">
        <v>23124.9</v>
      </c>
      <c r="Q90" s="8">
        <v>22894.9</v>
      </c>
      <c r="R90" s="158">
        <f t="shared" ref="R90:R92" si="431">P90-Q90</f>
        <v>230</v>
      </c>
      <c r="S90" s="156">
        <f t="shared" ref="S90" si="432">S88</f>
        <v>1</v>
      </c>
      <c r="T90" s="158">
        <f t="shared" ref="T90:T92" si="433">R90*S90</f>
        <v>230</v>
      </c>
      <c r="U90" s="8">
        <v>0.24</v>
      </c>
      <c r="V90" s="8">
        <v>0.95</v>
      </c>
    </row>
    <row r="91" spans="1:22" ht="15.75" x14ac:dyDescent="0.25">
      <c r="A91" s="172">
        <v>78</v>
      </c>
      <c r="B91" s="116" t="s">
        <v>321</v>
      </c>
      <c r="C91" s="8" t="s">
        <v>194</v>
      </c>
      <c r="D91" s="8" t="s">
        <v>32</v>
      </c>
      <c r="E91" s="8">
        <v>968</v>
      </c>
      <c r="F91" s="8">
        <v>955.8</v>
      </c>
      <c r="G91" s="173">
        <f t="shared" ref="G91" si="434">E91-F91</f>
        <v>12.200000000000045</v>
      </c>
      <c r="H91" s="173">
        <f>H88</f>
        <v>1</v>
      </c>
      <c r="I91" s="173">
        <f t="shared" ref="I91" si="435">G91*H91</f>
        <v>12.200000000000045</v>
      </c>
      <c r="J91" s="8">
        <v>15485</v>
      </c>
      <c r="K91" s="8">
        <v>15346.5</v>
      </c>
      <c r="L91" s="173">
        <f t="shared" ref="L91" si="436">J91-K91</f>
        <v>138.5</v>
      </c>
      <c r="M91" s="173">
        <f>M88</f>
        <v>1</v>
      </c>
      <c r="N91" s="173">
        <f t="shared" ref="N91" si="437">L91*M91</f>
        <v>138.5</v>
      </c>
      <c r="O91" s="173">
        <f t="shared" ref="O91" si="438">N91-I91</f>
        <v>126.29999999999995</v>
      </c>
      <c r="P91" s="8">
        <v>23319</v>
      </c>
      <c r="Q91" s="8">
        <v>23124.9</v>
      </c>
      <c r="R91" s="174">
        <f t="shared" ref="R91" si="439">P91-Q91</f>
        <v>194.09999999999854</v>
      </c>
      <c r="S91" s="173">
        <f>S88</f>
        <v>1</v>
      </c>
      <c r="T91" s="174">
        <f t="shared" ref="T91" si="440">R91*S91</f>
        <v>194.09999999999854</v>
      </c>
      <c r="U91" s="8">
        <v>0.24</v>
      </c>
      <c r="V91" s="8">
        <v>0.95</v>
      </c>
    </row>
    <row r="92" spans="1:22" ht="15.75" x14ac:dyDescent="0.25">
      <c r="A92" s="155">
        <v>79</v>
      </c>
      <c r="B92" s="116" t="s">
        <v>327</v>
      </c>
      <c r="C92" s="8" t="s">
        <v>194</v>
      </c>
      <c r="D92" s="8" t="s">
        <v>32</v>
      </c>
      <c r="E92" s="8">
        <v>1082.9000000000001</v>
      </c>
      <c r="F92" s="8">
        <v>968</v>
      </c>
      <c r="G92" s="156">
        <f t="shared" si="424"/>
        <v>114.90000000000009</v>
      </c>
      <c r="H92" s="156">
        <f>H89</f>
        <v>1</v>
      </c>
      <c r="I92" s="156">
        <f t="shared" si="426"/>
        <v>114.90000000000009</v>
      </c>
      <c r="J92" s="8">
        <v>16517</v>
      </c>
      <c r="K92" s="8">
        <v>15485</v>
      </c>
      <c r="L92" s="156">
        <f t="shared" si="427"/>
        <v>1032</v>
      </c>
      <c r="M92" s="156">
        <f>M89</f>
        <v>1</v>
      </c>
      <c r="N92" s="156">
        <f t="shared" si="429"/>
        <v>1032</v>
      </c>
      <c r="O92" s="156">
        <f t="shared" si="430"/>
        <v>917.09999999999991</v>
      </c>
      <c r="P92" s="8">
        <v>24413</v>
      </c>
      <c r="Q92" s="8">
        <v>23319</v>
      </c>
      <c r="R92" s="158">
        <f t="shared" si="431"/>
        <v>1094</v>
      </c>
      <c r="S92" s="156">
        <f>S89</f>
        <v>1</v>
      </c>
      <c r="T92" s="158">
        <f t="shared" si="433"/>
        <v>1094</v>
      </c>
      <c r="U92" s="8">
        <v>0.25</v>
      </c>
      <c r="V92" s="8">
        <v>0.97</v>
      </c>
    </row>
    <row r="93" spans="1:22" ht="15.75" x14ac:dyDescent="0.25">
      <c r="A93" s="175">
        <v>80</v>
      </c>
      <c r="B93" s="116" t="s">
        <v>330</v>
      </c>
      <c r="C93" s="8" t="s">
        <v>194</v>
      </c>
      <c r="D93" s="8" t="s">
        <v>32</v>
      </c>
      <c r="E93" s="8">
        <v>1120</v>
      </c>
      <c r="F93" s="8">
        <v>1082.9000000000001</v>
      </c>
      <c r="G93" s="176">
        <f t="shared" ref="G93:G94" si="441">E93-F93</f>
        <v>37.099999999999909</v>
      </c>
      <c r="H93" s="176">
        <f>H90</f>
        <v>1</v>
      </c>
      <c r="I93" s="176">
        <f t="shared" ref="I93:I94" si="442">G93*H93</f>
        <v>37.099999999999909</v>
      </c>
      <c r="J93" s="8">
        <v>16851</v>
      </c>
      <c r="K93" s="8">
        <v>16517</v>
      </c>
      <c r="L93" s="176">
        <f t="shared" ref="L93:L94" si="443">J93-K93</f>
        <v>334</v>
      </c>
      <c r="M93" s="176">
        <f>M90</f>
        <v>1</v>
      </c>
      <c r="N93" s="176">
        <f t="shared" ref="N93:N94" si="444">L93*M93</f>
        <v>334</v>
      </c>
      <c r="O93" s="176">
        <f t="shared" ref="O93:O94" si="445">N93-I93</f>
        <v>296.90000000000009</v>
      </c>
      <c r="P93" s="8">
        <v>24731</v>
      </c>
      <c r="Q93" s="8">
        <v>24413</v>
      </c>
      <c r="R93" s="178">
        <f t="shared" ref="R93:R94" si="446">P93-Q93</f>
        <v>318</v>
      </c>
      <c r="S93" s="176">
        <f>S90</f>
        <v>1</v>
      </c>
      <c r="T93" s="178">
        <f t="shared" ref="T93:T94" si="447">R93*S93</f>
        <v>318</v>
      </c>
      <c r="U93" s="8">
        <v>0.24</v>
      </c>
      <c r="V93" s="8">
        <v>0.98</v>
      </c>
    </row>
    <row r="94" spans="1:22" ht="15.75" x14ac:dyDescent="0.25">
      <c r="A94" s="183">
        <v>81</v>
      </c>
      <c r="B94" s="116" t="s">
        <v>331</v>
      </c>
      <c r="C94" s="8" t="s">
        <v>194</v>
      </c>
      <c r="D94" s="8" t="s">
        <v>32</v>
      </c>
      <c r="E94" s="8">
        <v>1150</v>
      </c>
      <c r="F94" s="8">
        <v>1120</v>
      </c>
      <c r="G94" s="184">
        <f t="shared" si="441"/>
        <v>30</v>
      </c>
      <c r="H94" s="184">
        <f>H90</f>
        <v>1</v>
      </c>
      <c r="I94" s="184">
        <f t="shared" si="442"/>
        <v>30</v>
      </c>
      <c r="J94" s="8">
        <v>16980</v>
      </c>
      <c r="K94" s="8">
        <v>16851</v>
      </c>
      <c r="L94" s="184">
        <f t="shared" si="443"/>
        <v>129</v>
      </c>
      <c r="M94" s="184">
        <f>M90</f>
        <v>1</v>
      </c>
      <c r="N94" s="184">
        <f t="shared" si="444"/>
        <v>129</v>
      </c>
      <c r="O94" s="184">
        <f t="shared" si="445"/>
        <v>99</v>
      </c>
      <c r="P94" s="8">
        <v>25100</v>
      </c>
      <c r="Q94" s="8">
        <v>24731</v>
      </c>
      <c r="R94" s="186">
        <f t="shared" si="446"/>
        <v>369</v>
      </c>
      <c r="S94" s="184">
        <f>S90</f>
        <v>1</v>
      </c>
      <c r="T94" s="186">
        <f t="shared" si="447"/>
        <v>369</v>
      </c>
      <c r="U94" s="8">
        <v>0.25</v>
      </c>
      <c r="V94" s="8">
        <v>0.98</v>
      </c>
    </row>
    <row r="95" spans="1:22" ht="15.75" x14ac:dyDescent="0.25">
      <c r="A95" s="182">
        <v>82</v>
      </c>
      <c r="B95" s="116" t="s">
        <v>332</v>
      </c>
      <c r="C95" s="8" t="s">
        <v>194</v>
      </c>
      <c r="D95" s="8" t="s">
        <v>32</v>
      </c>
      <c r="E95" s="8">
        <v>1172</v>
      </c>
      <c r="F95" s="8">
        <v>1150</v>
      </c>
      <c r="G95" s="181">
        <f t="shared" ref="G95" si="448">E95-F95</f>
        <v>22</v>
      </c>
      <c r="H95" s="181">
        <f>H91</f>
        <v>1</v>
      </c>
      <c r="I95" s="181">
        <f t="shared" ref="I95" si="449">G95*H95</f>
        <v>22</v>
      </c>
      <c r="J95" s="8">
        <v>17676</v>
      </c>
      <c r="K95" s="8">
        <v>16980</v>
      </c>
      <c r="L95" s="181">
        <f t="shared" ref="L95" si="450">J95-K95</f>
        <v>696</v>
      </c>
      <c r="M95" s="181">
        <f>M91</f>
        <v>1</v>
      </c>
      <c r="N95" s="181">
        <f t="shared" ref="N95" si="451">L95*M95</f>
        <v>696</v>
      </c>
      <c r="O95" s="181">
        <f t="shared" ref="O95" si="452">N95-I95</f>
        <v>674</v>
      </c>
      <c r="P95" s="8">
        <v>25644</v>
      </c>
      <c r="Q95" s="8">
        <v>25100</v>
      </c>
      <c r="R95" s="180">
        <f t="shared" ref="R95" si="453">P95-Q95</f>
        <v>544</v>
      </c>
      <c r="S95" s="181">
        <f>S91</f>
        <v>1</v>
      </c>
      <c r="T95" s="180">
        <f t="shared" ref="T95" si="454">R95*S95</f>
        <v>544</v>
      </c>
      <c r="U95" s="8">
        <v>0.26</v>
      </c>
      <c r="V95" s="8">
        <v>0.98</v>
      </c>
    </row>
    <row r="96" spans="1:22" s="3" customFormat="1" x14ac:dyDescent="0.25">
      <c r="A96" s="88"/>
      <c r="B96" s="88"/>
      <c r="C96" s="88"/>
      <c r="D96" s="88"/>
      <c r="E96" s="88"/>
      <c r="F96" s="88"/>
      <c r="G96" s="88"/>
      <c r="H96" s="88" t="s">
        <v>121</v>
      </c>
      <c r="I96" s="88">
        <f>SUM(I85:I92)</f>
        <v>325.00000000000011</v>
      </c>
      <c r="J96" s="88"/>
      <c r="K96" s="88"/>
      <c r="L96" s="88"/>
      <c r="M96" s="88"/>
      <c r="N96" s="88">
        <f>SUM(N85:N92)</f>
        <v>2993</v>
      </c>
      <c r="O96" s="88">
        <f>SUM(O85:O92)</f>
        <v>2668</v>
      </c>
      <c r="P96" s="88"/>
      <c r="Q96" s="88"/>
      <c r="R96" s="88"/>
      <c r="S96" s="88"/>
      <c r="T96" s="88">
        <f>SUM(T85:T92)</f>
        <v>3237.9000000000015</v>
      </c>
      <c r="U96" s="88"/>
      <c r="V96" s="88"/>
    </row>
  </sheetData>
  <autoFilter ref="B1:B92"/>
  <mergeCells count="32">
    <mergeCell ref="A1:V1"/>
    <mergeCell ref="A2:V2"/>
    <mergeCell ref="B3:C3"/>
    <mergeCell ref="E3:I3"/>
    <mergeCell ref="J3:L3"/>
    <mergeCell ref="M3:N3"/>
    <mergeCell ref="O3:U3"/>
    <mergeCell ref="A5:A6"/>
    <mergeCell ref="B5:B6"/>
    <mergeCell ref="C5:C6"/>
    <mergeCell ref="D5:D6"/>
    <mergeCell ref="E5:I5"/>
    <mergeCell ref="B4:C4"/>
    <mergeCell ref="E4:I4"/>
    <mergeCell ref="J4:L4"/>
    <mergeCell ref="M4:N4"/>
    <mergeCell ref="O4:U4"/>
    <mergeCell ref="J5:N5"/>
    <mergeCell ref="O5:O6"/>
    <mergeCell ref="U5:U6"/>
    <mergeCell ref="V5:V6"/>
    <mergeCell ref="P5:T5"/>
    <mergeCell ref="E42:O42"/>
    <mergeCell ref="E40:O40"/>
    <mergeCell ref="E39:O39"/>
    <mergeCell ref="C7:C17"/>
    <mergeCell ref="D7:D17"/>
    <mergeCell ref="C20:C31"/>
    <mergeCell ref="D20:D31"/>
    <mergeCell ref="E41:O41"/>
    <mergeCell ref="D34:D45"/>
    <mergeCell ref="C34:C45"/>
  </mergeCells>
  <phoneticPr fontId="23" type="noConversion"/>
  <printOptions horizontalCentered="1"/>
  <pageMargins left="0" right="0" top="0.75" bottom="0.75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91"/>
  <sheetViews>
    <sheetView topLeftCell="A67" zoomScale="85" zoomScaleNormal="85" workbookViewId="0">
      <selection activeCell="C94" sqref="C94"/>
    </sheetView>
  </sheetViews>
  <sheetFormatPr defaultRowHeight="15" x14ac:dyDescent="0.25"/>
  <cols>
    <col min="1" max="1" width="7.5703125" customWidth="1"/>
    <col min="2" max="2" width="13" customWidth="1"/>
    <col min="3" max="3" width="10.710937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1" width="8.570312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6.140625" customWidth="1"/>
    <col min="22" max="22" width="11.85546875" customWidth="1"/>
  </cols>
  <sheetData>
    <row r="1" spans="1:22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1:22" ht="21.75" customHeight="1" thickBot="1" x14ac:dyDescent="0.3">
      <c r="A2" s="208" t="s">
        <v>36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2" ht="33.75" customHeight="1" x14ac:dyDescent="0.25">
      <c r="A3" s="13" t="s">
        <v>5</v>
      </c>
      <c r="B3" s="212" t="s">
        <v>37</v>
      </c>
      <c r="C3" s="212"/>
      <c r="D3" s="14" t="s">
        <v>6</v>
      </c>
      <c r="E3" s="209" t="s">
        <v>38</v>
      </c>
      <c r="F3" s="210"/>
      <c r="G3" s="210"/>
      <c r="H3" s="210"/>
      <c r="I3" s="211"/>
      <c r="J3" s="200" t="s">
        <v>7</v>
      </c>
      <c r="K3" s="200"/>
      <c r="L3" s="200"/>
      <c r="M3" s="200" t="s">
        <v>43</v>
      </c>
      <c r="N3" s="200"/>
      <c r="O3" s="212" t="s">
        <v>8</v>
      </c>
      <c r="P3" s="212"/>
      <c r="Q3" s="212"/>
      <c r="R3" s="212"/>
      <c r="S3" s="212"/>
      <c r="T3" s="212"/>
      <c r="U3" s="212"/>
      <c r="V3" s="15" t="s">
        <v>39</v>
      </c>
    </row>
    <row r="4" spans="1:22" ht="16.5" thickBot="1" x14ac:dyDescent="0.3">
      <c r="A4" s="32" t="s">
        <v>0</v>
      </c>
      <c r="B4" s="215" t="s">
        <v>62</v>
      </c>
      <c r="C4" s="215"/>
      <c r="D4" s="16" t="s">
        <v>9</v>
      </c>
      <c r="E4" s="203">
        <v>9448994814</v>
      </c>
      <c r="F4" s="203"/>
      <c r="G4" s="203"/>
      <c r="H4" s="203"/>
      <c r="I4" s="203"/>
      <c r="J4" s="204" t="s">
        <v>2</v>
      </c>
      <c r="K4" s="204"/>
      <c r="L4" s="204"/>
      <c r="M4" s="215" t="s">
        <v>33</v>
      </c>
      <c r="N4" s="215"/>
      <c r="O4" s="203" t="s">
        <v>10</v>
      </c>
      <c r="P4" s="203"/>
      <c r="Q4" s="203"/>
      <c r="R4" s="203"/>
      <c r="S4" s="203"/>
      <c r="T4" s="203"/>
      <c r="U4" s="203"/>
      <c r="V4" s="26" t="s">
        <v>39</v>
      </c>
    </row>
    <row r="5" spans="1:22" ht="15.75" x14ac:dyDescent="0.25">
      <c r="A5" s="207" t="s">
        <v>11</v>
      </c>
      <c r="B5" s="213" t="s">
        <v>1</v>
      </c>
      <c r="C5" s="200" t="s">
        <v>12</v>
      </c>
      <c r="D5" s="200" t="s">
        <v>13</v>
      </c>
      <c r="E5" s="197" t="s">
        <v>14</v>
      </c>
      <c r="F5" s="198"/>
      <c r="G5" s="198"/>
      <c r="H5" s="198"/>
      <c r="I5" s="199"/>
      <c r="J5" s="197" t="s">
        <v>15</v>
      </c>
      <c r="K5" s="198"/>
      <c r="L5" s="198"/>
      <c r="M5" s="198"/>
      <c r="N5" s="199"/>
      <c r="O5" s="200" t="s">
        <v>16</v>
      </c>
      <c r="P5" s="197" t="s">
        <v>67</v>
      </c>
      <c r="Q5" s="198"/>
      <c r="R5" s="198"/>
      <c r="S5" s="198"/>
      <c r="T5" s="199"/>
      <c r="U5" s="200" t="s">
        <v>17</v>
      </c>
      <c r="V5" s="201" t="s">
        <v>17</v>
      </c>
    </row>
    <row r="6" spans="1:22" ht="63" x14ac:dyDescent="0.25">
      <c r="A6" s="207"/>
      <c r="B6" s="214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201"/>
      <c r="V6" s="201"/>
    </row>
    <row r="7" spans="1:22" ht="15.75" x14ac:dyDescent="0.25">
      <c r="A7" s="12">
        <v>1</v>
      </c>
      <c r="B7" s="18" t="s">
        <v>55</v>
      </c>
      <c r="C7" s="19" t="s">
        <v>44</v>
      </c>
      <c r="D7" s="19" t="s">
        <v>44</v>
      </c>
      <c r="E7" s="17">
        <v>34.6</v>
      </c>
      <c r="F7" s="17">
        <v>3.3</v>
      </c>
      <c r="G7" s="17">
        <f>E7-F7</f>
        <v>31.3</v>
      </c>
      <c r="H7" s="17">
        <v>1</v>
      </c>
      <c r="I7" s="17">
        <f t="shared" ref="I7:I15" si="0">G7*H7</f>
        <v>31.3</v>
      </c>
      <c r="J7" s="17">
        <v>90.2</v>
      </c>
      <c r="K7" s="17">
        <v>10.7</v>
      </c>
      <c r="L7" s="17">
        <f t="shared" ref="L7:L15" si="1">J7-K7</f>
        <v>79.5</v>
      </c>
      <c r="M7" s="17">
        <v>1</v>
      </c>
      <c r="N7" s="17">
        <f t="shared" ref="N7:N8" si="2">L7*M7</f>
        <v>79.5</v>
      </c>
      <c r="O7" s="17">
        <f t="shared" ref="O7:O8" si="3">N7-I7</f>
        <v>48.2</v>
      </c>
      <c r="P7" s="17">
        <v>215</v>
      </c>
      <c r="Q7" s="17">
        <v>0</v>
      </c>
      <c r="R7" s="19">
        <f t="shared" ref="R7" si="4">P7-Q7</f>
        <v>215</v>
      </c>
      <c r="S7" s="17">
        <v>1</v>
      </c>
      <c r="T7" s="19">
        <f t="shared" ref="T7" si="5">R7*S7</f>
        <v>215</v>
      </c>
      <c r="U7" s="17"/>
      <c r="V7" s="17"/>
    </row>
    <row r="8" spans="1:22" ht="15.75" x14ac:dyDescent="0.25">
      <c r="A8" s="12">
        <v>2</v>
      </c>
      <c r="B8" s="18" t="s">
        <v>26</v>
      </c>
      <c r="C8" s="19" t="s">
        <v>44</v>
      </c>
      <c r="D8" s="19" t="s">
        <v>44</v>
      </c>
      <c r="E8" s="17">
        <v>129.4</v>
      </c>
      <c r="F8" s="17">
        <f>E7</f>
        <v>34.6</v>
      </c>
      <c r="G8" s="17">
        <f>E8-F8</f>
        <v>94.800000000000011</v>
      </c>
      <c r="H8" s="17">
        <v>1</v>
      </c>
      <c r="I8" s="17">
        <f t="shared" si="0"/>
        <v>94.800000000000011</v>
      </c>
      <c r="J8" s="17">
        <v>230.9</v>
      </c>
      <c r="K8" s="17">
        <f>J7</f>
        <v>90.2</v>
      </c>
      <c r="L8" s="17">
        <f t="shared" si="1"/>
        <v>140.69999999999999</v>
      </c>
      <c r="M8" s="17">
        <v>1</v>
      </c>
      <c r="N8" s="17">
        <f t="shared" si="2"/>
        <v>140.69999999999999</v>
      </c>
      <c r="O8" s="17">
        <f t="shared" si="3"/>
        <v>45.899999999999977</v>
      </c>
      <c r="P8" s="17">
        <v>435</v>
      </c>
      <c r="Q8" s="17">
        <f t="shared" ref="Q8:Q9" si="6">P7</f>
        <v>215</v>
      </c>
      <c r="R8" s="19">
        <f t="shared" ref="R8:R9" si="7">P8-Q8</f>
        <v>220</v>
      </c>
      <c r="S8" s="17">
        <v>1</v>
      </c>
      <c r="T8" s="19">
        <f t="shared" ref="T8:T9" si="8">R8*S8</f>
        <v>220</v>
      </c>
      <c r="U8" s="17"/>
      <c r="V8" s="17"/>
    </row>
    <row r="9" spans="1:22" ht="15.75" x14ac:dyDescent="0.25">
      <c r="A9" s="12">
        <v>3</v>
      </c>
      <c r="B9" s="18" t="s">
        <v>27</v>
      </c>
      <c r="C9" s="19" t="s">
        <v>44</v>
      </c>
      <c r="D9" s="19" t="s">
        <v>44</v>
      </c>
      <c r="E9" s="17">
        <v>214.9</v>
      </c>
      <c r="F9" s="17">
        <f>E8</f>
        <v>129.4</v>
      </c>
      <c r="G9" s="17">
        <f t="shared" ref="G9:G15" si="9">E9-F9</f>
        <v>85.5</v>
      </c>
      <c r="H9" s="17">
        <v>1</v>
      </c>
      <c r="I9" s="17">
        <f t="shared" si="0"/>
        <v>85.5</v>
      </c>
      <c r="J9" s="17">
        <v>392.6</v>
      </c>
      <c r="K9" s="17">
        <f>J8</f>
        <v>230.9</v>
      </c>
      <c r="L9" s="17">
        <f t="shared" si="1"/>
        <v>161.70000000000002</v>
      </c>
      <c r="M9" s="17">
        <v>1</v>
      </c>
      <c r="N9" s="17">
        <f t="shared" ref="N9:N15" si="10">L9*M9</f>
        <v>161.70000000000002</v>
      </c>
      <c r="O9" s="17">
        <f t="shared" ref="O9:O11" si="11">N9-I9</f>
        <v>76.200000000000017</v>
      </c>
      <c r="P9" s="17">
        <v>762</v>
      </c>
      <c r="Q9" s="17">
        <f t="shared" si="6"/>
        <v>435</v>
      </c>
      <c r="R9" s="19">
        <f t="shared" si="7"/>
        <v>327</v>
      </c>
      <c r="S9" s="17">
        <v>1</v>
      </c>
      <c r="T9" s="19">
        <f t="shared" si="8"/>
        <v>327</v>
      </c>
      <c r="U9" s="17"/>
      <c r="V9" s="17"/>
    </row>
    <row r="10" spans="1:22" ht="15.75" x14ac:dyDescent="0.25">
      <c r="A10" s="12">
        <v>4</v>
      </c>
      <c r="B10" s="18" t="s">
        <v>28</v>
      </c>
      <c r="C10" s="19" t="s">
        <v>44</v>
      </c>
      <c r="D10" s="19" t="s">
        <v>44</v>
      </c>
      <c r="E10" s="17">
        <v>349.8</v>
      </c>
      <c r="F10" s="17">
        <f t="shared" ref="F10:F15" si="12">E9</f>
        <v>214.9</v>
      </c>
      <c r="G10" s="17">
        <f t="shared" si="9"/>
        <v>134.9</v>
      </c>
      <c r="H10" s="17">
        <v>1</v>
      </c>
      <c r="I10" s="17">
        <f t="shared" si="0"/>
        <v>134.9</v>
      </c>
      <c r="J10" s="17">
        <v>580.29999999999995</v>
      </c>
      <c r="K10" s="17">
        <f t="shared" ref="K10:K15" si="13">J9</f>
        <v>392.6</v>
      </c>
      <c r="L10" s="17">
        <f t="shared" si="1"/>
        <v>187.69999999999993</v>
      </c>
      <c r="M10" s="17">
        <v>1</v>
      </c>
      <c r="N10" s="17">
        <f t="shared" si="10"/>
        <v>187.69999999999993</v>
      </c>
      <c r="O10" s="17">
        <f t="shared" si="11"/>
        <v>52.799999999999926</v>
      </c>
      <c r="P10" s="17">
        <v>1032.3</v>
      </c>
      <c r="Q10" s="17">
        <f t="shared" ref="Q10:Q17" si="14">P9</f>
        <v>762</v>
      </c>
      <c r="R10" s="19">
        <f t="shared" ref="R10:R17" si="15">P10-Q10</f>
        <v>270.29999999999995</v>
      </c>
      <c r="S10" s="17">
        <v>1</v>
      </c>
      <c r="T10" s="19">
        <f t="shared" ref="T10:T17" si="16">R10*S10</f>
        <v>270.29999999999995</v>
      </c>
      <c r="U10" s="17"/>
      <c r="V10" s="17"/>
    </row>
    <row r="11" spans="1:22" ht="15.75" x14ac:dyDescent="0.25">
      <c r="A11" s="12">
        <v>5</v>
      </c>
      <c r="B11" s="18" t="s">
        <v>29</v>
      </c>
      <c r="C11" s="19" t="s">
        <v>44</v>
      </c>
      <c r="D11" s="19" t="s">
        <v>44</v>
      </c>
      <c r="E11" s="17">
        <v>464.8</v>
      </c>
      <c r="F11" s="17">
        <f t="shared" si="12"/>
        <v>349.8</v>
      </c>
      <c r="G11" s="17">
        <f t="shared" si="9"/>
        <v>115</v>
      </c>
      <c r="H11" s="17">
        <v>1</v>
      </c>
      <c r="I11" s="17">
        <f t="shared" si="0"/>
        <v>115</v>
      </c>
      <c r="J11" s="17">
        <v>747.7</v>
      </c>
      <c r="K11" s="17">
        <f t="shared" si="13"/>
        <v>580.29999999999995</v>
      </c>
      <c r="L11" s="17">
        <f t="shared" si="1"/>
        <v>167.40000000000009</v>
      </c>
      <c r="M11" s="17">
        <v>1</v>
      </c>
      <c r="N11" s="17">
        <f t="shared" si="10"/>
        <v>167.40000000000009</v>
      </c>
      <c r="O11" s="17">
        <f t="shared" si="11"/>
        <v>52.400000000000091</v>
      </c>
      <c r="P11" s="17">
        <v>1315.8</v>
      </c>
      <c r="Q11" s="17">
        <f>P10</f>
        <v>1032.3</v>
      </c>
      <c r="R11" s="19">
        <f t="shared" si="15"/>
        <v>283.5</v>
      </c>
      <c r="S11" s="17">
        <v>1</v>
      </c>
      <c r="T11" s="19">
        <f t="shared" si="16"/>
        <v>283.5</v>
      </c>
      <c r="U11" s="17"/>
      <c r="V11" s="17"/>
    </row>
    <row r="12" spans="1:22" ht="15.75" x14ac:dyDescent="0.25">
      <c r="A12" s="12"/>
      <c r="B12" s="22" t="s">
        <v>121</v>
      </c>
      <c r="C12" s="19"/>
      <c r="D12" s="19"/>
      <c r="E12" s="17"/>
      <c r="F12" s="17"/>
      <c r="G12" s="17"/>
      <c r="H12" s="17"/>
      <c r="I12" s="17">
        <f>SUM(I7:I11)</f>
        <v>461.5</v>
      </c>
      <c r="J12" s="17"/>
      <c r="K12" s="17"/>
      <c r="L12" s="17"/>
      <c r="M12" s="17"/>
      <c r="N12" s="17">
        <f t="shared" ref="N12:O12" si="17">SUM(N7:N11)</f>
        <v>737</v>
      </c>
      <c r="O12" s="17">
        <f t="shared" si="17"/>
        <v>275.5</v>
      </c>
      <c r="P12" s="17"/>
      <c r="Q12" s="17"/>
      <c r="R12" s="19"/>
      <c r="S12" s="17"/>
      <c r="T12" s="17">
        <f>SUM(T7:T11)</f>
        <v>1315.8</v>
      </c>
      <c r="U12" s="17"/>
      <c r="V12" s="17"/>
    </row>
    <row r="13" spans="1:22" ht="15.75" x14ac:dyDescent="0.25">
      <c r="A13" s="12"/>
      <c r="B13" s="18"/>
      <c r="C13" s="19"/>
      <c r="D13" s="1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9"/>
      <c r="S13" s="17"/>
      <c r="T13" s="19"/>
      <c r="U13" s="17"/>
      <c r="V13" s="17"/>
    </row>
    <row r="14" spans="1:22" ht="15.75" x14ac:dyDescent="0.25">
      <c r="A14" s="12">
        <v>1</v>
      </c>
      <c r="B14" s="18" t="s">
        <v>30</v>
      </c>
      <c r="C14" s="19" t="s">
        <v>44</v>
      </c>
      <c r="D14" s="19" t="s">
        <v>44</v>
      </c>
      <c r="E14" s="17">
        <v>589.5</v>
      </c>
      <c r="F14" s="17">
        <f>E11</f>
        <v>464.8</v>
      </c>
      <c r="G14" s="17">
        <f t="shared" si="9"/>
        <v>124.69999999999999</v>
      </c>
      <c r="H14" s="17">
        <v>1</v>
      </c>
      <c r="I14" s="17">
        <f t="shared" si="0"/>
        <v>124.69999999999999</v>
      </c>
      <c r="J14" s="17">
        <v>859</v>
      </c>
      <c r="K14" s="17">
        <f>J11</f>
        <v>747.7</v>
      </c>
      <c r="L14" s="17">
        <f t="shared" si="1"/>
        <v>111.29999999999995</v>
      </c>
      <c r="M14" s="17">
        <v>1</v>
      </c>
      <c r="N14" s="17">
        <f t="shared" si="10"/>
        <v>111.29999999999995</v>
      </c>
      <c r="O14" s="17">
        <f>N14-I14</f>
        <v>-13.400000000000034</v>
      </c>
      <c r="P14" s="17">
        <v>1537</v>
      </c>
      <c r="Q14" s="17">
        <f>P11</f>
        <v>1315.8</v>
      </c>
      <c r="R14" s="19">
        <f t="shared" si="15"/>
        <v>221.20000000000005</v>
      </c>
      <c r="S14" s="17">
        <v>1</v>
      </c>
      <c r="T14" s="19">
        <f t="shared" si="16"/>
        <v>221.20000000000005</v>
      </c>
      <c r="U14" s="17"/>
      <c r="V14" s="17"/>
    </row>
    <row r="15" spans="1:22" ht="15.75" x14ac:dyDescent="0.25">
      <c r="A15" s="12">
        <v>2</v>
      </c>
      <c r="B15" s="18" t="s">
        <v>31</v>
      </c>
      <c r="C15" s="19" t="s">
        <v>44</v>
      </c>
      <c r="D15" s="19" t="s">
        <v>44</v>
      </c>
      <c r="E15" s="12">
        <v>693.1</v>
      </c>
      <c r="F15" s="17">
        <f t="shared" si="12"/>
        <v>589.5</v>
      </c>
      <c r="G15" s="17">
        <f t="shared" si="9"/>
        <v>103.60000000000002</v>
      </c>
      <c r="H15" s="17">
        <v>1</v>
      </c>
      <c r="I15" s="17">
        <f t="shared" si="0"/>
        <v>103.60000000000002</v>
      </c>
      <c r="J15" s="12">
        <v>943.7</v>
      </c>
      <c r="K15" s="17">
        <f t="shared" si="13"/>
        <v>859</v>
      </c>
      <c r="L15" s="17">
        <f t="shared" si="1"/>
        <v>84.700000000000045</v>
      </c>
      <c r="M15" s="17">
        <v>1</v>
      </c>
      <c r="N15" s="17">
        <f t="shared" si="10"/>
        <v>84.700000000000045</v>
      </c>
      <c r="O15" s="17">
        <f t="shared" ref="O15:O17" si="18">N15-I15</f>
        <v>-18.899999999999977</v>
      </c>
      <c r="P15" s="12">
        <v>1699.5</v>
      </c>
      <c r="Q15" s="17">
        <f t="shared" si="14"/>
        <v>1537</v>
      </c>
      <c r="R15" s="19">
        <f t="shared" si="15"/>
        <v>162.5</v>
      </c>
      <c r="S15" s="17">
        <v>1</v>
      </c>
      <c r="T15" s="19">
        <f t="shared" si="16"/>
        <v>162.5</v>
      </c>
      <c r="U15" s="19"/>
      <c r="V15" s="19"/>
    </row>
    <row r="16" spans="1:22" ht="15.75" x14ac:dyDescent="0.25">
      <c r="A16" s="12">
        <v>3</v>
      </c>
      <c r="B16" s="27" t="s">
        <v>56</v>
      </c>
      <c r="C16" s="28" t="s">
        <v>44</v>
      </c>
      <c r="D16" s="28" t="s">
        <v>44</v>
      </c>
      <c r="E16" s="29">
        <v>820.1</v>
      </c>
      <c r="F16" s="30">
        <f>E15</f>
        <v>693.1</v>
      </c>
      <c r="G16" s="30">
        <f t="shared" ref="G16" si="19">E16-F16</f>
        <v>127</v>
      </c>
      <c r="H16" s="30">
        <v>1</v>
      </c>
      <c r="I16" s="30">
        <f t="shared" ref="I16" si="20">G16*H16</f>
        <v>127</v>
      </c>
      <c r="J16" s="29">
        <v>991.7</v>
      </c>
      <c r="K16" s="30">
        <f>J15</f>
        <v>943.7</v>
      </c>
      <c r="L16" s="30">
        <f t="shared" ref="L16" si="21">J16-K16</f>
        <v>48</v>
      </c>
      <c r="M16" s="30">
        <v>1</v>
      </c>
      <c r="N16" s="30">
        <f t="shared" ref="N16" si="22">L16*M16</f>
        <v>48</v>
      </c>
      <c r="O16" s="30">
        <f t="shared" si="18"/>
        <v>-79</v>
      </c>
      <c r="P16" s="29">
        <v>1833.3</v>
      </c>
      <c r="Q16" s="17">
        <f>P15</f>
        <v>1699.5</v>
      </c>
      <c r="R16" s="19">
        <f t="shared" si="15"/>
        <v>133.79999999999995</v>
      </c>
      <c r="S16" s="17">
        <v>1</v>
      </c>
      <c r="T16" s="19">
        <f t="shared" si="16"/>
        <v>133.79999999999995</v>
      </c>
      <c r="U16" s="19"/>
      <c r="V16" s="19"/>
    </row>
    <row r="17" spans="1:22" ht="15.75" x14ac:dyDescent="0.25">
      <c r="A17" s="12">
        <v>4</v>
      </c>
      <c r="B17" s="22" t="s">
        <v>64</v>
      </c>
      <c r="C17" s="19" t="s">
        <v>44</v>
      </c>
      <c r="D17" s="19" t="s">
        <v>44</v>
      </c>
      <c r="E17" s="12">
        <v>944.5</v>
      </c>
      <c r="F17" s="17">
        <f t="shared" ref="F17" si="23">E16</f>
        <v>820.1</v>
      </c>
      <c r="G17" s="17">
        <f t="shared" ref="G17" si="24">E17-F17</f>
        <v>124.39999999999998</v>
      </c>
      <c r="H17" s="17">
        <v>1</v>
      </c>
      <c r="I17" s="17">
        <f t="shared" ref="I17" si="25">G17*H17</f>
        <v>124.39999999999998</v>
      </c>
      <c r="J17" s="12">
        <v>1021.4</v>
      </c>
      <c r="K17" s="17">
        <f t="shared" ref="K17" si="26">J16</f>
        <v>991.7</v>
      </c>
      <c r="L17" s="17">
        <f t="shared" ref="L17" si="27">J17-K17</f>
        <v>29.699999999999932</v>
      </c>
      <c r="M17" s="17">
        <v>1</v>
      </c>
      <c r="N17" s="17">
        <f t="shared" ref="N17" si="28">L17*M17</f>
        <v>29.699999999999932</v>
      </c>
      <c r="O17" s="17">
        <f t="shared" si="18"/>
        <v>-94.700000000000045</v>
      </c>
      <c r="P17" s="12">
        <v>1965.2</v>
      </c>
      <c r="Q17" s="17">
        <f t="shared" si="14"/>
        <v>1833.3</v>
      </c>
      <c r="R17" s="19">
        <f t="shared" si="15"/>
        <v>131.90000000000009</v>
      </c>
      <c r="S17" s="17">
        <v>1</v>
      </c>
      <c r="T17" s="19">
        <f t="shared" si="16"/>
        <v>131.90000000000009</v>
      </c>
      <c r="U17" s="19"/>
      <c r="V17" s="19"/>
    </row>
    <row r="18" spans="1:22" ht="15.75" x14ac:dyDescent="0.25">
      <c r="A18" s="12">
        <v>5</v>
      </c>
      <c r="B18" s="22" t="s">
        <v>103</v>
      </c>
      <c r="C18" s="19" t="s">
        <v>44</v>
      </c>
      <c r="D18" s="19" t="s">
        <v>44</v>
      </c>
      <c r="E18" s="12">
        <v>1057.8</v>
      </c>
      <c r="F18" s="17">
        <f t="shared" ref="F18" si="29">E17</f>
        <v>944.5</v>
      </c>
      <c r="G18" s="17">
        <f t="shared" ref="G18" si="30">E18-F18</f>
        <v>113.29999999999995</v>
      </c>
      <c r="H18" s="17">
        <v>1</v>
      </c>
      <c r="I18" s="17">
        <f t="shared" ref="I18" si="31">G18*H18</f>
        <v>113.29999999999995</v>
      </c>
      <c r="J18" s="12">
        <v>1082.4000000000001</v>
      </c>
      <c r="K18" s="17">
        <f t="shared" ref="K18" si="32">J17</f>
        <v>1021.4</v>
      </c>
      <c r="L18" s="17">
        <f t="shared" ref="L18" si="33">J18-K18</f>
        <v>61.000000000000114</v>
      </c>
      <c r="M18" s="17">
        <v>1</v>
      </c>
      <c r="N18" s="17">
        <f t="shared" ref="N18" si="34">L18*M18</f>
        <v>61.000000000000114</v>
      </c>
      <c r="O18" s="17">
        <f t="shared" ref="O18" si="35">N18-I18</f>
        <v>-52.299999999999841</v>
      </c>
      <c r="P18" s="12">
        <v>2152.5</v>
      </c>
      <c r="Q18" s="17">
        <f t="shared" ref="Q18" si="36">P17</f>
        <v>1965.2</v>
      </c>
      <c r="R18" s="19">
        <f t="shared" ref="R18" si="37">P18-Q18</f>
        <v>187.29999999999995</v>
      </c>
      <c r="S18" s="17">
        <v>1</v>
      </c>
      <c r="T18" s="19">
        <f t="shared" ref="T18" si="38">R18*S18</f>
        <v>187.29999999999995</v>
      </c>
      <c r="U18" s="19"/>
      <c r="V18" s="19"/>
    </row>
    <row r="19" spans="1:22" ht="15.75" x14ac:dyDescent="0.25">
      <c r="A19" s="12">
        <v>6</v>
      </c>
      <c r="B19" s="22" t="s">
        <v>104</v>
      </c>
      <c r="C19" s="19" t="s">
        <v>32</v>
      </c>
      <c r="D19" s="19" t="s">
        <v>32</v>
      </c>
      <c r="E19" s="12">
        <v>1178.4000000000001</v>
      </c>
      <c r="F19" s="17">
        <f t="shared" ref="F19" si="39">E18</f>
        <v>1057.8</v>
      </c>
      <c r="G19" s="17">
        <f t="shared" ref="G19" si="40">E19-F19</f>
        <v>120.60000000000014</v>
      </c>
      <c r="H19" s="17">
        <v>1</v>
      </c>
      <c r="I19" s="17">
        <f t="shared" ref="I19" si="41">G19*H19</f>
        <v>120.60000000000014</v>
      </c>
      <c r="J19" s="12">
        <v>1211.0999999999999</v>
      </c>
      <c r="K19" s="17">
        <f t="shared" ref="K19" si="42">J18</f>
        <v>1082.4000000000001</v>
      </c>
      <c r="L19" s="17">
        <f t="shared" ref="L19" si="43">J19-K19</f>
        <v>128.69999999999982</v>
      </c>
      <c r="M19" s="17">
        <v>1</v>
      </c>
      <c r="N19" s="17">
        <f t="shared" ref="N19" si="44">L19*M19</f>
        <v>128.69999999999982</v>
      </c>
      <c r="O19" s="17">
        <f t="shared" ref="O19:O20" si="45">N19-I19</f>
        <v>8.0999999999996817</v>
      </c>
      <c r="P19" s="12">
        <v>2418.1</v>
      </c>
      <c r="Q19" s="17">
        <f t="shared" ref="Q19" si="46">P18</f>
        <v>2152.5</v>
      </c>
      <c r="R19" s="19">
        <f t="shared" ref="R19" si="47">P19-Q19</f>
        <v>265.59999999999991</v>
      </c>
      <c r="S19" s="17">
        <v>1</v>
      </c>
      <c r="T19" s="19">
        <f t="shared" ref="T19" si="48">R19*S19</f>
        <v>265.59999999999991</v>
      </c>
      <c r="U19" s="19"/>
      <c r="V19" s="19"/>
    </row>
    <row r="20" spans="1:22" ht="15.75" x14ac:dyDescent="0.25">
      <c r="A20" s="12">
        <v>7</v>
      </c>
      <c r="B20" s="22" t="s">
        <v>106</v>
      </c>
      <c r="C20" s="19" t="s">
        <v>32</v>
      </c>
      <c r="D20" s="19" t="s">
        <v>32</v>
      </c>
      <c r="E20" s="12">
        <v>1306.0999999999999</v>
      </c>
      <c r="F20" s="17">
        <f t="shared" ref="F20" si="49">E19</f>
        <v>1178.4000000000001</v>
      </c>
      <c r="G20" s="17">
        <f t="shared" ref="G20" si="50">E20-F20</f>
        <v>127.69999999999982</v>
      </c>
      <c r="H20" s="17">
        <v>1</v>
      </c>
      <c r="I20" s="17">
        <f t="shared" ref="I20" si="51">G20*H20</f>
        <v>127.69999999999982</v>
      </c>
      <c r="J20" s="12">
        <v>1350.6</v>
      </c>
      <c r="K20" s="17">
        <f t="shared" ref="K20" si="52">J19</f>
        <v>1211.0999999999999</v>
      </c>
      <c r="L20" s="17">
        <f t="shared" ref="L20" si="53">J20-K20</f>
        <v>139.5</v>
      </c>
      <c r="M20" s="17">
        <v>1</v>
      </c>
      <c r="N20" s="17">
        <f t="shared" ref="N20" si="54">L20*M20</f>
        <v>139.5</v>
      </c>
      <c r="O20" s="17">
        <f t="shared" si="45"/>
        <v>11.800000000000182</v>
      </c>
      <c r="P20" s="12">
        <v>2600.3000000000002</v>
      </c>
      <c r="Q20" s="17">
        <f t="shared" ref="Q20" si="55">P19</f>
        <v>2418.1</v>
      </c>
      <c r="R20" s="19">
        <f t="shared" ref="R20" si="56">P20-Q20</f>
        <v>182.20000000000027</v>
      </c>
      <c r="S20" s="17">
        <v>1</v>
      </c>
      <c r="T20" s="19">
        <f t="shared" ref="T20" si="57">R20*S20</f>
        <v>182.20000000000027</v>
      </c>
      <c r="U20" s="19"/>
      <c r="V20" s="19"/>
    </row>
    <row r="21" spans="1:22" ht="15.75" x14ac:dyDescent="0.25">
      <c r="A21" s="12">
        <v>8</v>
      </c>
      <c r="B21" s="22" t="s">
        <v>107</v>
      </c>
      <c r="C21" s="19" t="s">
        <v>44</v>
      </c>
      <c r="D21" s="19" t="s">
        <v>44</v>
      </c>
      <c r="E21" s="12">
        <v>1420</v>
      </c>
      <c r="F21" s="17">
        <f t="shared" ref="F21" si="58">E20</f>
        <v>1306.0999999999999</v>
      </c>
      <c r="G21" s="17">
        <f t="shared" ref="G21" si="59">E21-F21</f>
        <v>113.90000000000009</v>
      </c>
      <c r="H21" s="17">
        <v>1</v>
      </c>
      <c r="I21" s="17">
        <f t="shared" ref="I21:I22" si="60">G21*H21</f>
        <v>113.90000000000009</v>
      </c>
      <c r="J21" s="12">
        <v>1470.6</v>
      </c>
      <c r="K21" s="17">
        <f t="shared" ref="K21" si="61">J20</f>
        <v>1350.6</v>
      </c>
      <c r="L21" s="17">
        <f t="shared" ref="L21" si="62">J21-K21</f>
        <v>120</v>
      </c>
      <c r="M21" s="17">
        <v>1</v>
      </c>
      <c r="N21" s="17">
        <f t="shared" ref="N21" si="63">L21*M21</f>
        <v>120</v>
      </c>
      <c r="O21" s="17">
        <f t="shared" ref="O21" si="64">N21-I21</f>
        <v>6.0999999999999091</v>
      </c>
      <c r="P21" s="12">
        <v>2833.2</v>
      </c>
      <c r="Q21" s="17">
        <f t="shared" ref="Q21" si="65">P20</f>
        <v>2600.3000000000002</v>
      </c>
      <c r="R21" s="19">
        <f t="shared" ref="R21" si="66">P21-Q21</f>
        <v>232.89999999999964</v>
      </c>
      <c r="S21" s="17">
        <v>1</v>
      </c>
      <c r="T21" s="19">
        <f t="shared" ref="T21" si="67">R21*S21</f>
        <v>232.89999999999964</v>
      </c>
      <c r="U21" s="19"/>
      <c r="V21" s="19"/>
    </row>
    <row r="22" spans="1:22" ht="15.75" x14ac:dyDescent="0.25">
      <c r="A22" s="12">
        <v>9</v>
      </c>
      <c r="B22" s="22" t="s">
        <v>108</v>
      </c>
      <c r="C22" s="19" t="s">
        <v>44</v>
      </c>
      <c r="D22" s="19" t="s">
        <v>44</v>
      </c>
      <c r="E22" s="12">
        <v>1523.1</v>
      </c>
      <c r="F22" s="17">
        <f t="shared" ref="F22" si="68">E21</f>
        <v>1420</v>
      </c>
      <c r="G22" s="17">
        <f t="shared" ref="G22" si="69">E22-F22</f>
        <v>103.09999999999991</v>
      </c>
      <c r="H22" s="17">
        <v>1</v>
      </c>
      <c r="I22" s="17">
        <f t="shared" si="60"/>
        <v>103.09999999999991</v>
      </c>
      <c r="J22" s="12">
        <v>1603.3</v>
      </c>
      <c r="K22" s="17">
        <f t="shared" ref="K22" si="70">J21</f>
        <v>1470.6</v>
      </c>
      <c r="L22" s="17">
        <f t="shared" ref="L22" si="71">J22-K22</f>
        <v>132.70000000000005</v>
      </c>
      <c r="M22" s="17">
        <v>1</v>
      </c>
      <c r="N22" s="17">
        <f t="shared" ref="N22" si="72">L22*M22</f>
        <v>132.70000000000005</v>
      </c>
      <c r="O22" s="17">
        <f t="shared" ref="O22" si="73">N22-I22</f>
        <v>29.600000000000136</v>
      </c>
      <c r="P22" s="12">
        <v>3062.4</v>
      </c>
      <c r="Q22" s="17">
        <f t="shared" ref="Q22" si="74">P21</f>
        <v>2833.2</v>
      </c>
      <c r="R22" s="19">
        <f t="shared" ref="R22" si="75">P22-Q22</f>
        <v>229.20000000000027</v>
      </c>
      <c r="S22" s="17">
        <v>1</v>
      </c>
      <c r="T22" s="19">
        <f t="shared" ref="T22" si="76">R22*S22</f>
        <v>229.20000000000027</v>
      </c>
      <c r="U22" s="19"/>
      <c r="V22" s="19"/>
    </row>
    <row r="23" spans="1:22" ht="15.75" x14ac:dyDescent="0.25">
      <c r="A23" s="12">
        <v>10</v>
      </c>
      <c r="B23" s="22" t="s">
        <v>109</v>
      </c>
      <c r="C23" s="19" t="s">
        <v>32</v>
      </c>
      <c r="D23" s="19" t="s">
        <v>32</v>
      </c>
      <c r="E23" s="12">
        <v>1617.5</v>
      </c>
      <c r="F23" s="17">
        <f t="shared" ref="F23" si="77">E22</f>
        <v>1523.1</v>
      </c>
      <c r="G23" s="17">
        <f t="shared" ref="G23" si="78">E23-F23</f>
        <v>94.400000000000091</v>
      </c>
      <c r="H23" s="17">
        <v>1</v>
      </c>
      <c r="I23" s="17">
        <f t="shared" ref="I23" si="79">G23*H23</f>
        <v>94.400000000000091</v>
      </c>
      <c r="J23" s="12">
        <v>1778.4</v>
      </c>
      <c r="K23" s="17">
        <f t="shared" ref="K23" si="80">J22</f>
        <v>1603.3</v>
      </c>
      <c r="L23" s="17">
        <f t="shared" ref="L23" si="81">J23-K23</f>
        <v>175.10000000000014</v>
      </c>
      <c r="M23" s="17">
        <v>1</v>
      </c>
      <c r="N23" s="17">
        <f t="shared" ref="N23" si="82">L23*M23</f>
        <v>175.10000000000014</v>
      </c>
      <c r="O23" s="17">
        <f t="shared" ref="O23" si="83">N23-I23</f>
        <v>80.700000000000045</v>
      </c>
      <c r="P23" s="12">
        <v>3356</v>
      </c>
      <c r="Q23" s="17">
        <f t="shared" ref="Q23" si="84">P22</f>
        <v>3062.4</v>
      </c>
      <c r="R23" s="19">
        <f t="shared" ref="R23" si="85">P23-Q23</f>
        <v>293.59999999999991</v>
      </c>
      <c r="S23" s="17">
        <v>1</v>
      </c>
      <c r="T23" s="19">
        <f t="shared" ref="T23" si="86">R23*S23</f>
        <v>293.59999999999991</v>
      </c>
      <c r="U23" s="19"/>
      <c r="V23" s="19"/>
    </row>
    <row r="24" spans="1:22" ht="15.75" x14ac:dyDescent="0.25">
      <c r="A24" s="12">
        <v>11</v>
      </c>
      <c r="B24" s="22" t="s">
        <v>111</v>
      </c>
      <c r="C24" s="19" t="s">
        <v>32</v>
      </c>
      <c r="D24" s="19" t="s">
        <v>32</v>
      </c>
      <c r="E24" s="12">
        <v>1718.4</v>
      </c>
      <c r="F24" s="17">
        <f t="shared" ref="F24" si="87">E23</f>
        <v>1617.5</v>
      </c>
      <c r="G24" s="17">
        <f t="shared" ref="G24" si="88">E24-F24</f>
        <v>100.90000000000009</v>
      </c>
      <c r="H24" s="17">
        <v>1</v>
      </c>
      <c r="I24" s="17">
        <f t="shared" ref="I24" si="89">G24*H24</f>
        <v>100.90000000000009</v>
      </c>
      <c r="J24" s="12">
        <v>2019.2</v>
      </c>
      <c r="K24" s="17">
        <f t="shared" ref="K24" si="90">J23</f>
        <v>1778.4</v>
      </c>
      <c r="L24" s="17">
        <f t="shared" ref="L24" si="91">J24-K24</f>
        <v>240.79999999999995</v>
      </c>
      <c r="M24" s="17">
        <v>1</v>
      </c>
      <c r="N24" s="17">
        <f t="shared" ref="N24" si="92">L24*M24</f>
        <v>240.79999999999995</v>
      </c>
      <c r="O24" s="17">
        <f t="shared" ref="O24" si="93">N24-I24</f>
        <v>139.89999999999986</v>
      </c>
      <c r="P24" s="12">
        <v>3678.3</v>
      </c>
      <c r="Q24" s="17">
        <f t="shared" ref="Q24" si="94">P23</f>
        <v>3356</v>
      </c>
      <c r="R24" s="19">
        <f t="shared" ref="R24" si="95">P24-Q24</f>
        <v>322.30000000000018</v>
      </c>
      <c r="S24" s="17">
        <v>1</v>
      </c>
      <c r="T24" s="19">
        <f t="shared" ref="T24" si="96">R24*S24</f>
        <v>322.30000000000018</v>
      </c>
      <c r="U24" s="19"/>
      <c r="V24" s="19"/>
    </row>
    <row r="25" spans="1:22" ht="15.75" x14ac:dyDescent="0.25">
      <c r="A25" s="12">
        <v>12</v>
      </c>
      <c r="B25" s="22" t="s">
        <v>117</v>
      </c>
      <c r="C25" s="19" t="s">
        <v>32</v>
      </c>
      <c r="D25" s="19" t="s">
        <v>32</v>
      </c>
      <c r="E25" s="12">
        <v>1835.2</v>
      </c>
      <c r="F25" s="17">
        <f t="shared" ref="F25" si="97">E24</f>
        <v>1718.4</v>
      </c>
      <c r="G25" s="17">
        <f t="shared" ref="G25" si="98">E25-F25</f>
        <v>116.79999999999995</v>
      </c>
      <c r="H25" s="17">
        <v>1</v>
      </c>
      <c r="I25" s="17">
        <f t="shared" ref="I25" si="99">G25*H25</f>
        <v>116.79999999999995</v>
      </c>
      <c r="J25" s="12">
        <v>2208.1</v>
      </c>
      <c r="K25" s="17">
        <f t="shared" ref="K25" si="100">J24</f>
        <v>2019.2</v>
      </c>
      <c r="L25" s="17">
        <f t="shared" ref="L25" si="101">J25-K25</f>
        <v>188.89999999999986</v>
      </c>
      <c r="M25" s="17">
        <v>1</v>
      </c>
      <c r="N25" s="17">
        <f t="shared" ref="N25" si="102">L25*M25</f>
        <v>188.89999999999986</v>
      </c>
      <c r="O25" s="17">
        <f t="shared" ref="O25" si="103">N25-I25</f>
        <v>72.099999999999909</v>
      </c>
      <c r="P25" s="12">
        <v>3982.4</v>
      </c>
      <c r="Q25" s="17">
        <f t="shared" ref="Q25" si="104">P24</f>
        <v>3678.3</v>
      </c>
      <c r="R25" s="19">
        <f t="shared" ref="R25" si="105">P25-Q25</f>
        <v>304.09999999999991</v>
      </c>
      <c r="S25" s="17">
        <v>1</v>
      </c>
      <c r="T25" s="19">
        <f t="shared" ref="T25" si="106">R25*S25</f>
        <v>304.09999999999991</v>
      </c>
      <c r="U25" s="19"/>
      <c r="V25" s="19"/>
    </row>
    <row r="26" spans="1:22" ht="15.75" x14ac:dyDescent="0.25">
      <c r="A26" s="12"/>
      <c r="B26" s="22" t="s">
        <v>121</v>
      </c>
      <c r="C26" s="19"/>
      <c r="D26" s="19"/>
      <c r="E26" s="12"/>
      <c r="F26" s="17"/>
      <c r="G26" s="17"/>
      <c r="H26" s="17"/>
      <c r="I26" s="17">
        <f>SUM(I14:I25)</f>
        <v>1370.4</v>
      </c>
      <c r="J26" s="12"/>
      <c r="K26" s="17"/>
      <c r="L26" s="17"/>
      <c r="M26" s="17"/>
      <c r="N26" s="17">
        <f t="shared" ref="N26:O26" si="107">SUM(N14:N25)</f>
        <v>1460.3999999999999</v>
      </c>
      <c r="O26" s="17">
        <f t="shared" si="107"/>
        <v>89.999999999999829</v>
      </c>
      <c r="P26" s="12"/>
      <c r="Q26" s="17"/>
      <c r="R26" s="19"/>
      <c r="S26" s="17"/>
      <c r="T26" s="17">
        <f>SUM(T14:T25)</f>
        <v>2666.6</v>
      </c>
      <c r="U26" s="24"/>
      <c r="V26" s="24"/>
    </row>
    <row r="27" spans="1:22" ht="15.75" x14ac:dyDescent="0.25">
      <c r="A27" s="12"/>
      <c r="B27" s="22"/>
      <c r="C27" s="19"/>
      <c r="D27" s="19"/>
      <c r="E27" s="12"/>
      <c r="F27" s="17"/>
      <c r="G27" s="17"/>
      <c r="H27" s="17"/>
      <c r="I27" s="17"/>
      <c r="J27" s="12"/>
      <c r="K27" s="17"/>
      <c r="L27" s="17"/>
      <c r="M27" s="17"/>
      <c r="N27" s="17"/>
      <c r="O27" s="17"/>
      <c r="P27" s="12"/>
      <c r="Q27" s="17"/>
      <c r="R27" s="19"/>
      <c r="S27" s="17"/>
      <c r="T27" s="19"/>
      <c r="U27" s="24"/>
      <c r="V27" s="24"/>
    </row>
    <row r="28" spans="1:22" ht="15.75" x14ac:dyDescent="0.25">
      <c r="A28" s="12">
        <v>13</v>
      </c>
      <c r="B28" s="22" t="s">
        <v>118</v>
      </c>
      <c r="C28" s="19" t="s">
        <v>32</v>
      </c>
      <c r="D28" s="19" t="s">
        <v>32</v>
      </c>
      <c r="E28" s="12">
        <v>2026.2</v>
      </c>
      <c r="F28" s="17">
        <f t="shared" ref="F28" si="108">E25</f>
        <v>1835.2</v>
      </c>
      <c r="G28" s="17">
        <f t="shared" ref="G28" si="109">E28-F28</f>
        <v>191</v>
      </c>
      <c r="H28" s="17">
        <v>1</v>
      </c>
      <c r="I28" s="17">
        <f t="shared" ref="I28" si="110">G28*H28</f>
        <v>191</v>
      </c>
      <c r="J28" s="12">
        <v>2240.1999999999998</v>
      </c>
      <c r="K28" s="17">
        <f t="shared" ref="K28" si="111">J25</f>
        <v>2208.1</v>
      </c>
      <c r="L28" s="17">
        <f t="shared" ref="L28" si="112">J28-K28</f>
        <v>32.099999999999909</v>
      </c>
      <c r="M28" s="17">
        <v>1</v>
      </c>
      <c r="N28" s="17">
        <f t="shared" ref="N28" si="113">L28*M28</f>
        <v>32.099999999999909</v>
      </c>
      <c r="O28" s="17">
        <f t="shared" ref="O28" si="114">N28-I28</f>
        <v>-158.90000000000009</v>
      </c>
      <c r="P28" s="12">
        <v>4077.8</v>
      </c>
      <c r="Q28" s="17">
        <f t="shared" ref="Q28" si="115">P25</f>
        <v>3982.4</v>
      </c>
      <c r="R28" s="19">
        <f t="shared" ref="R28" si="116">P28-Q28</f>
        <v>95.400000000000091</v>
      </c>
      <c r="S28" s="17">
        <v>1</v>
      </c>
      <c r="T28" s="19">
        <f t="shared" ref="T28" si="117">R28*S28</f>
        <v>95.400000000000091</v>
      </c>
      <c r="U28" s="19" t="s">
        <v>241</v>
      </c>
      <c r="V28" s="19" t="s">
        <v>242</v>
      </c>
    </row>
    <row r="29" spans="1:22" ht="15.75" x14ac:dyDescent="0.25">
      <c r="A29" s="12">
        <v>14</v>
      </c>
      <c r="B29" s="22" t="s">
        <v>119</v>
      </c>
      <c r="C29" s="19" t="s">
        <v>32</v>
      </c>
      <c r="D29" s="19" t="s">
        <v>32</v>
      </c>
      <c r="E29" s="12">
        <v>2247.8000000000002</v>
      </c>
      <c r="F29" s="17">
        <f t="shared" ref="F29" si="118">E28</f>
        <v>2026.2</v>
      </c>
      <c r="G29" s="17">
        <f t="shared" ref="G29" si="119">E29-F29</f>
        <v>221.60000000000014</v>
      </c>
      <c r="H29" s="17">
        <v>1</v>
      </c>
      <c r="I29" s="17">
        <f t="shared" ref="I29" si="120">G29*H29</f>
        <v>221.60000000000014</v>
      </c>
      <c r="J29" s="12">
        <v>2251.4</v>
      </c>
      <c r="K29" s="17">
        <f t="shared" ref="K29" si="121">J28</f>
        <v>2240.1999999999998</v>
      </c>
      <c r="L29" s="17">
        <f t="shared" ref="L29" si="122">J29-K29</f>
        <v>11.200000000000273</v>
      </c>
      <c r="M29" s="17">
        <v>1</v>
      </c>
      <c r="N29" s="17">
        <f t="shared" ref="N29" si="123">L29*M29</f>
        <v>11.200000000000273</v>
      </c>
      <c r="O29" s="17">
        <f t="shared" ref="O29" si="124">N29-I29</f>
        <v>-210.39999999999986</v>
      </c>
      <c r="P29" s="12">
        <v>4097.1000000000004</v>
      </c>
      <c r="Q29" s="17">
        <f t="shared" ref="Q29" si="125">P28</f>
        <v>4077.8</v>
      </c>
      <c r="R29" s="19">
        <f t="shared" ref="R29" si="126">P29-Q29</f>
        <v>19.300000000000182</v>
      </c>
      <c r="S29" s="17">
        <v>1</v>
      </c>
      <c r="T29" s="19">
        <f t="shared" ref="T29" si="127">R29*S29</f>
        <v>19.300000000000182</v>
      </c>
      <c r="U29" s="19"/>
      <c r="V29" s="19"/>
    </row>
    <row r="30" spans="1:22" ht="15.75" x14ac:dyDescent="0.25">
      <c r="A30" s="29">
        <v>15</v>
      </c>
      <c r="B30" s="65" t="s">
        <v>195</v>
      </c>
      <c r="C30" s="28" t="s">
        <v>32</v>
      </c>
      <c r="D30" s="28" t="s">
        <v>32</v>
      </c>
      <c r="E30" s="29">
        <v>2353.4</v>
      </c>
      <c r="F30" s="30">
        <f t="shared" ref="F30" si="128">E29</f>
        <v>2247.8000000000002</v>
      </c>
      <c r="G30" s="30">
        <f t="shared" ref="G30" si="129">E30-F30</f>
        <v>105.59999999999991</v>
      </c>
      <c r="H30" s="30">
        <v>1</v>
      </c>
      <c r="I30" s="30">
        <f t="shared" ref="I30" si="130">G30*H30</f>
        <v>105.59999999999991</v>
      </c>
      <c r="J30" s="29">
        <v>2300</v>
      </c>
      <c r="K30" s="30">
        <f t="shared" ref="K30" si="131">J29</f>
        <v>2251.4</v>
      </c>
      <c r="L30" s="30">
        <f t="shared" ref="L30" si="132">J30-K30</f>
        <v>48.599999999999909</v>
      </c>
      <c r="M30" s="30">
        <v>1</v>
      </c>
      <c r="N30" s="30">
        <f t="shared" ref="N30" si="133">L30*M30</f>
        <v>48.599999999999909</v>
      </c>
      <c r="O30" s="30">
        <f t="shared" ref="O30" si="134">N30-I30</f>
        <v>-57</v>
      </c>
      <c r="P30" s="29">
        <v>4255.2</v>
      </c>
      <c r="Q30" s="30">
        <f t="shared" ref="Q30" si="135">P29</f>
        <v>4097.1000000000004</v>
      </c>
      <c r="R30" s="28">
        <f t="shared" ref="R30" si="136">P30-Q30</f>
        <v>158.09999999999945</v>
      </c>
      <c r="S30" s="30">
        <v>1</v>
      </c>
      <c r="T30" s="28">
        <f t="shared" ref="T30" si="137">R30*S30</f>
        <v>158.09999999999945</v>
      </c>
      <c r="U30" s="19"/>
      <c r="V30" s="19"/>
    </row>
    <row r="31" spans="1:22" ht="15.75" x14ac:dyDescent="0.25">
      <c r="A31" s="12">
        <v>16</v>
      </c>
      <c r="B31" s="22" t="s">
        <v>203</v>
      </c>
      <c r="C31" s="19" t="s">
        <v>32</v>
      </c>
      <c r="D31" s="19" t="s">
        <v>32</v>
      </c>
      <c r="E31" s="12">
        <v>2459</v>
      </c>
      <c r="F31" s="17">
        <f t="shared" ref="F31" si="138">E30</f>
        <v>2353.4</v>
      </c>
      <c r="G31" s="17">
        <f t="shared" ref="G31" si="139">E31-F31</f>
        <v>105.59999999999991</v>
      </c>
      <c r="H31" s="17">
        <f t="shared" ref="H31:H39" si="140">H30</f>
        <v>1</v>
      </c>
      <c r="I31" s="17">
        <f t="shared" ref="I31" si="141">G31*H31</f>
        <v>105.59999999999991</v>
      </c>
      <c r="J31" s="12">
        <v>2382</v>
      </c>
      <c r="K31" s="17">
        <f t="shared" ref="K31" si="142">J30</f>
        <v>2300</v>
      </c>
      <c r="L31" s="17">
        <f t="shared" ref="L31" si="143">J31-K31</f>
        <v>82</v>
      </c>
      <c r="M31" s="17">
        <f t="shared" ref="M31:M39" si="144">M30</f>
        <v>1</v>
      </c>
      <c r="N31" s="17">
        <f t="shared" ref="N31" si="145">L31*M31</f>
        <v>82</v>
      </c>
      <c r="O31" s="17">
        <f t="shared" ref="O31:O32" si="146">SUM(O28:O29)</f>
        <v>-369.29999999999995</v>
      </c>
      <c r="P31" s="20">
        <v>4427.3</v>
      </c>
      <c r="Q31" s="17">
        <f t="shared" ref="Q31" si="147">P30</f>
        <v>4255.2</v>
      </c>
      <c r="R31" s="19">
        <f t="shared" ref="R31" si="148">P31-Q31</f>
        <v>172.10000000000036</v>
      </c>
      <c r="S31" s="17">
        <f t="shared" ref="S31:S39" si="149">S30</f>
        <v>1</v>
      </c>
      <c r="T31" s="19">
        <f t="shared" ref="T31" si="150">R31*S31</f>
        <v>172.10000000000036</v>
      </c>
      <c r="U31" s="66"/>
      <c r="V31" s="66"/>
    </row>
    <row r="32" spans="1:22" ht="15.75" x14ac:dyDescent="0.25">
      <c r="A32" s="12">
        <v>17</v>
      </c>
      <c r="B32" s="22" t="s">
        <v>240</v>
      </c>
      <c r="C32" s="19" t="s">
        <v>32</v>
      </c>
      <c r="D32" s="19" t="s">
        <v>32</v>
      </c>
      <c r="E32" s="8">
        <v>2560</v>
      </c>
      <c r="F32" s="17">
        <f t="shared" ref="F32:F37" si="151">E31</f>
        <v>2459</v>
      </c>
      <c r="G32" s="17">
        <f t="shared" ref="G32" si="152">E32-F32</f>
        <v>101</v>
      </c>
      <c r="H32" s="17">
        <f t="shared" si="140"/>
        <v>1</v>
      </c>
      <c r="I32" s="17">
        <f t="shared" ref="I32" si="153">G32*H32</f>
        <v>101</v>
      </c>
      <c r="J32" s="12">
        <v>2475.5</v>
      </c>
      <c r="K32" s="17">
        <f t="shared" ref="K32:K37" si="154">J31</f>
        <v>2382</v>
      </c>
      <c r="L32" s="17">
        <f t="shared" ref="L32" si="155">J32-K32</f>
        <v>93.5</v>
      </c>
      <c r="M32" s="17">
        <f t="shared" si="144"/>
        <v>1</v>
      </c>
      <c r="N32" s="17">
        <f t="shared" ref="N32" si="156">L32*M32</f>
        <v>93.5</v>
      </c>
      <c r="O32" s="17">
        <f t="shared" si="146"/>
        <v>-267.39999999999986</v>
      </c>
      <c r="P32" s="8">
        <v>4622.8999999999996</v>
      </c>
      <c r="Q32" s="17">
        <f t="shared" ref="Q32:Q37" si="157">P31</f>
        <v>4427.3</v>
      </c>
      <c r="R32" s="19">
        <f t="shared" ref="R32" si="158">P32-Q32</f>
        <v>195.59999999999945</v>
      </c>
      <c r="S32" s="17">
        <f t="shared" si="149"/>
        <v>1</v>
      </c>
      <c r="T32" s="19">
        <f t="shared" ref="T32" si="159">R32*S32</f>
        <v>195.59999999999945</v>
      </c>
      <c r="U32" s="8">
        <v>1.78</v>
      </c>
      <c r="V32" s="8">
        <v>0.9</v>
      </c>
    </row>
    <row r="33" spans="1:22" ht="15.75" x14ac:dyDescent="0.25">
      <c r="A33" s="12">
        <v>18</v>
      </c>
      <c r="B33" s="22" t="s">
        <v>244</v>
      </c>
      <c r="C33" s="19" t="s">
        <v>32</v>
      </c>
      <c r="D33" s="19" t="s">
        <v>32</v>
      </c>
      <c r="E33" s="12">
        <v>2654</v>
      </c>
      <c r="F33" s="17">
        <f t="shared" si="151"/>
        <v>2560</v>
      </c>
      <c r="G33" s="17">
        <f t="shared" ref="G33" si="160">E33-F33</f>
        <v>94</v>
      </c>
      <c r="H33" s="17">
        <f t="shared" si="140"/>
        <v>1</v>
      </c>
      <c r="I33" s="17">
        <f t="shared" ref="I33" si="161">G33*H33</f>
        <v>94</v>
      </c>
      <c r="J33" s="12">
        <v>2596.6999999999998</v>
      </c>
      <c r="K33" s="17">
        <f t="shared" si="154"/>
        <v>2475.5</v>
      </c>
      <c r="L33" s="17">
        <f t="shared" ref="L33:L38" si="162">J33-K33</f>
        <v>121.19999999999982</v>
      </c>
      <c r="M33" s="17">
        <f t="shared" si="144"/>
        <v>1</v>
      </c>
      <c r="N33" s="17">
        <f t="shared" ref="N33:N38" si="163">L33*M33</f>
        <v>121.19999999999982</v>
      </c>
      <c r="O33" s="17">
        <f t="shared" ref="O33:O39" si="164">SUM(O30:O31)</f>
        <v>-426.29999999999995</v>
      </c>
      <c r="P33" s="12">
        <v>4833.6000000000004</v>
      </c>
      <c r="Q33" s="17">
        <f t="shared" si="157"/>
        <v>4622.8999999999996</v>
      </c>
      <c r="R33" s="19">
        <f t="shared" ref="R33" si="165">P33-Q33</f>
        <v>210.70000000000073</v>
      </c>
      <c r="S33" s="17">
        <f t="shared" si="149"/>
        <v>1</v>
      </c>
      <c r="T33" s="19">
        <f t="shared" ref="T33" si="166">R33*S33</f>
        <v>210.70000000000073</v>
      </c>
      <c r="U33" s="8">
        <v>2</v>
      </c>
      <c r="V33" s="8">
        <v>0.9</v>
      </c>
    </row>
    <row r="34" spans="1:22" ht="15.75" x14ac:dyDescent="0.25">
      <c r="A34" s="12">
        <v>19</v>
      </c>
      <c r="B34" s="22" t="s">
        <v>245</v>
      </c>
      <c r="C34" s="19" t="s">
        <v>32</v>
      </c>
      <c r="D34" s="19" t="s">
        <v>32</v>
      </c>
      <c r="E34" s="12">
        <v>2770.6</v>
      </c>
      <c r="F34" s="17">
        <f t="shared" si="151"/>
        <v>2654</v>
      </c>
      <c r="G34" s="17">
        <f t="shared" ref="G34" si="167">E34-F34</f>
        <v>116.59999999999991</v>
      </c>
      <c r="H34" s="17">
        <f t="shared" si="140"/>
        <v>1</v>
      </c>
      <c r="I34" s="17">
        <f t="shared" ref="I34" si="168">G34*H34</f>
        <v>116.59999999999991</v>
      </c>
      <c r="J34" s="20">
        <v>2716.7</v>
      </c>
      <c r="K34" s="17">
        <f t="shared" si="154"/>
        <v>2596.6999999999998</v>
      </c>
      <c r="L34" s="17">
        <f t="shared" si="162"/>
        <v>120</v>
      </c>
      <c r="M34" s="17">
        <f t="shared" si="144"/>
        <v>1</v>
      </c>
      <c r="N34" s="17">
        <f t="shared" si="163"/>
        <v>120</v>
      </c>
      <c r="O34" s="17">
        <f t="shared" si="164"/>
        <v>-636.69999999999982</v>
      </c>
      <c r="P34" s="12">
        <v>5073</v>
      </c>
      <c r="Q34" s="17">
        <f t="shared" si="157"/>
        <v>4833.6000000000004</v>
      </c>
      <c r="R34" s="19">
        <f t="shared" ref="R34" si="169">P34-Q34</f>
        <v>239.39999999999964</v>
      </c>
      <c r="S34" s="17">
        <f t="shared" si="149"/>
        <v>1</v>
      </c>
      <c r="T34" s="19">
        <f t="shared" ref="T34" si="170">R34*S34</f>
        <v>239.39999999999964</v>
      </c>
      <c r="U34" s="8">
        <v>1.18</v>
      </c>
      <c r="V34" s="8"/>
    </row>
    <row r="35" spans="1:22" ht="15.75" x14ac:dyDescent="0.25">
      <c r="A35" s="12">
        <v>20</v>
      </c>
      <c r="B35" s="22" t="s">
        <v>246</v>
      </c>
      <c r="C35" s="19" t="s">
        <v>32</v>
      </c>
      <c r="D35" s="19" t="s">
        <v>32</v>
      </c>
      <c r="E35" s="12">
        <v>2894.6</v>
      </c>
      <c r="F35" s="17">
        <f t="shared" si="151"/>
        <v>2770.6</v>
      </c>
      <c r="G35" s="17">
        <f t="shared" ref="G35" si="171">E35-F35</f>
        <v>124</v>
      </c>
      <c r="H35" s="17">
        <f t="shared" si="140"/>
        <v>1</v>
      </c>
      <c r="I35" s="17">
        <f t="shared" ref="I35" si="172">G35*H35</f>
        <v>124</v>
      </c>
      <c r="J35" s="20">
        <v>2886.7</v>
      </c>
      <c r="K35" s="17">
        <f t="shared" si="154"/>
        <v>2716.7</v>
      </c>
      <c r="L35" s="17">
        <f t="shared" si="162"/>
        <v>170</v>
      </c>
      <c r="M35" s="17">
        <f t="shared" si="144"/>
        <v>1</v>
      </c>
      <c r="N35" s="17">
        <f t="shared" si="163"/>
        <v>170</v>
      </c>
      <c r="O35" s="17">
        <f t="shared" si="164"/>
        <v>-693.69999999999982</v>
      </c>
      <c r="P35" s="12">
        <v>5375</v>
      </c>
      <c r="Q35" s="17">
        <f t="shared" si="157"/>
        <v>5073</v>
      </c>
      <c r="R35" s="19">
        <f t="shared" ref="R35" si="173">P35-Q35</f>
        <v>302</v>
      </c>
      <c r="S35" s="17">
        <f t="shared" si="149"/>
        <v>1</v>
      </c>
      <c r="T35" s="19">
        <f t="shared" ref="T35" si="174">R35*S35</f>
        <v>302</v>
      </c>
      <c r="U35" s="8">
        <v>1.1599999999999999</v>
      </c>
      <c r="V35" s="8">
        <v>0.9</v>
      </c>
    </row>
    <row r="36" spans="1:22" ht="15.75" x14ac:dyDescent="0.25">
      <c r="A36" s="12">
        <v>21</v>
      </c>
      <c r="B36" s="22" t="s">
        <v>252</v>
      </c>
      <c r="C36" s="19" t="s">
        <v>32</v>
      </c>
      <c r="D36" s="19" t="s">
        <v>32</v>
      </c>
      <c r="E36" s="20">
        <v>3017.6</v>
      </c>
      <c r="F36" s="17">
        <f t="shared" si="151"/>
        <v>2894.6</v>
      </c>
      <c r="G36" s="17">
        <f t="shared" ref="G36" si="175">E36-F36</f>
        <v>123</v>
      </c>
      <c r="H36" s="17">
        <f t="shared" si="140"/>
        <v>1</v>
      </c>
      <c r="I36" s="17">
        <f t="shared" ref="I36" si="176">G36*H36</f>
        <v>123</v>
      </c>
      <c r="J36" s="20">
        <v>3091.9</v>
      </c>
      <c r="K36" s="17">
        <f t="shared" si="154"/>
        <v>2886.7</v>
      </c>
      <c r="L36" s="17">
        <f t="shared" si="162"/>
        <v>205.20000000000027</v>
      </c>
      <c r="M36" s="17">
        <f t="shared" si="144"/>
        <v>1</v>
      </c>
      <c r="N36" s="17">
        <f t="shared" si="163"/>
        <v>205.20000000000027</v>
      </c>
      <c r="O36" s="17">
        <f t="shared" si="164"/>
        <v>-1062.9999999999998</v>
      </c>
      <c r="P36" s="12">
        <v>5706.8</v>
      </c>
      <c r="Q36" s="17">
        <f t="shared" si="157"/>
        <v>5375</v>
      </c>
      <c r="R36" s="19">
        <f t="shared" ref="R36" si="177">P36-Q36</f>
        <v>331.80000000000018</v>
      </c>
      <c r="S36" s="17">
        <f t="shared" si="149"/>
        <v>1</v>
      </c>
      <c r="T36" s="19">
        <f t="shared" ref="T36" si="178">R36*S36</f>
        <v>331.80000000000018</v>
      </c>
      <c r="U36" s="8"/>
      <c r="V36" s="8"/>
    </row>
    <row r="37" spans="1:22" ht="15.75" x14ac:dyDescent="0.25">
      <c r="A37" s="12">
        <v>22</v>
      </c>
      <c r="B37" s="22" t="s">
        <v>253</v>
      </c>
      <c r="C37" s="19" t="s">
        <v>32</v>
      </c>
      <c r="D37" s="19" t="s">
        <v>32</v>
      </c>
      <c r="E37" s="8">
        <v>3110</v>
      </c>
      <c r="F37" s="17">
        <f t="shared" si="151"/>
        <v>3017.6</v>
      </c>
      <c r="G37" s="17">
        <f t="shared" ref="G37" si="179">E37-F37</f>
        <v>92.400000000000091</v>
      </c>
      <c r="H37" s="17">
        <f t="shared" si="140"/>
        <v>1</v>
      </c>
      <c r="I37" s="17">
        <f t="shared" ref="I37" si="180">G37*H37</f>
        <v>92.400000000000091</v>
      </c>
      <c r="J37" s="8">
        <v>3330.5</v>
      </c>
      <c r="K37" s="17">
        <f t="shared" si="154"/>
        <v>3091.9</v>
      </c>
      <c r="L37" s="17">
        <f t="shared" si="162"/>
        <v>238.59999999999991</v>
      </c>
      <c r="M37" s="17">
        <f t="shared" si="144"/>
        <v>1</v>
      </c>
      <c r="N37" s="17">
        <f t="shared" si="163"/>
        <v>238.59999999999991</v>
      </c>
      <c r="O37" s="17">
        <f t="shared" si="164"/>
        <v>-1330.3999999999996</v>
      </c>
      <c r="P37" s="8">
        <v>6057.6</v>
      </c>
      <c r="Q37" s="17">
        <f t="shared" si="157"/>
        <v>5706.8</v>
      </c>
      <c r="R37" s="19">
        <f t="shared" ref="R37" si="181">P37-Q37</f>
        <v>350.80000000000018</v>
      </c>
      <c r="S37" s="17">
        <f t="shared" si="149"/>
        <v>1</v>
      </c>
      <c r="T37" s="19">
        <f t="shared" ref="T37" si="182">R37*S37</f>
        <v>350.80000000000018</v>
      </c>
      <c r="U37" s="8">
        <v>2.4</v>
      </c>
      <c r="V37" s="8">
        <v>0.93</v>
      </c>
    </row>
    <row r="38" spans="1:22" ht="15.75" x14ac:dyDescent="0.25">
      <c r="A38" s="12">
        <v>23</v>
      </c>
      <c r="B38" s="22" t="s">
        <v>254</v>
      </c>
      <c r="C38" s="19" t="s">
        <v>32</v>
      </c>
      <c r="D38" s="19" t="s">
        <v>32</v>
      </c>
      <c r="E38" s="8">
        <v>3195.2</v>
      </c>
      <c r="F38" s="17">
        <f t="shared" ref="F38" si="183">E37</f>
        <v>3110</v>
      </c>
      <c r="G38" s="17">
        <f t="shared" ref="G38" si="184">E38-F38</f>
        <v>85.199999999999818</v>
      </c>
      <c r="H38" s="17">
        <f t="shared" si="140"/>
        <v>1</v>
      </c>
      <c r="I38" s="17">
        <f t="shared" ref="I38" si="185">G38*H38</f>
        <v>85.199999999999818</v>
      </c>
      <c r="J38" s="8">
        <v>3562</v>
      </c>
      <c r="K38" s="17">
        <f t="shared" ref="K38" si="186">J37</f>
        <v>3330.5</v>
      </c>
      <c r="L38" s="17">
        <f t="shared" si="162"/>
        <v>231.5</v>
      </c>
      <c r="M38" s="17">
        <f t="shared" si="144"/>
        <v>1</v>
      </c>
      <c r="N38" s="17">
        <f t="shared" si="163"/>
        <v>231.5</v>
      </c>
      <c r="O38" s="17">
        <f t="shared" si="164"/>
        <v>-1756.6999999999996</v>
      </c>
      <c r="P38" s="8">
        <v>6320</v>
      </c>
      <c r="Q38" s="17">
        <f t="shared" ref="Q38" si="187">P37</f>
        <v>6057.6</v>
      </c>
      <c r="R38" s="19">
        <f t="shared" ref="R38" si="188">P38-Q38</f>
        <v>262.39999999999964</v>
      </c>
      <c r="S38" s="17">
        <f t="shared" si="149"/>
        <v>1</v>
      </c>
      <c r="T38" s="19">
        <f t="shared" ref="T38" si="189">R38*S38</f>
        <v>262.39999999999964</v>
      </c>
      <c r="U38" s="8"/>
      <c r="V38" s="8"/>
    </row>
    <row r="39" spans="1:22" ht="15.75" x14ac:dyDescent="0.25">
      <c r="A39" s="12">
        <v>24</v>
      </c>
      <c r="B39" s="22" t="s">
        <v>258</v>
      </c>
      <c r="C39" s="19" t="s">
        <v>32</v>
      </c>
      <c r="D39" s="19" t="s">
        <v>32</v>
      </c>
      <c r="E39" s="8">
        <v>3281.2</v>
      </c>
      <c r="F39" s="17">
        <f t="shared" ref="F39" si="190">E38</f>
        <v>3195.2</v>
      </c>
      <c r="G39" s="17">
        <f t="shared" ref="G39" si="191">E39-F39</f>
        <v>86</v>
      </c>
      <c r="H39" s="17">
        <f t="shared" si="140"/>
        <v>1</v>
      </c>
      <c r="I39" s="17">
        <f t="shared" ref="I39" si="192">G39*H39</f>
        <v>86</v>
      </c>
      <c r="J39" s="8">
        <v>3782</v>
      </c>
      <c r="K39" s="17">
        <f t="shared" ref="K39" si="193">J38</f>
        <v>3562</v>
      </c>
      <c r="L39" s="17">
        <f t="shared" ref="L39" si="194">J39-K39</f>
        <v>220</v>
      </c>
      <c r="M39" s="17">
        <f t="shared" si="144"/>
        <v>1</v>
      </c>
      <c r="N39" s="17">
        <f t="shared" ref="N39" si="195">L39*M39</f>
        <v>220</v>
      </c>
      <c r="O39" s="17">
        <f t="shared" si="164"/>
        <v>-2393.3999999999996</v>
      </c>
      <c r="P39" s="8">
        <v>6580</v>
      </c>
      <c r="Q39" s="17">
        <f t="shared" ref="Q39" si="196">P38</f>
        <v>6320</v>
      </c>
      <c r="R39" s="19">
        <f t="shared" ref="R39" si="197">P39-Q39</f>
        <v>260</v>
      </c>
      <c r="S39" s="17">
        <f t="shared" si="149"/>
        <v>1</v>
      </c>
      <c r="T39" s="19">
        <f t="shared" ref="T39" si="198">R39*S39</f>
        <v>260</v>
      </c>
      <c r="U39" s="8"/>
      <c r="V39" s="8"/>
    </row>
    <row r="40" spans="1:22" ht="15.75" x14ac:dyDescent="0.25">
      <c r="A40" s="8"/>
      <c r="B40" s="8"/>
      <c r="C40" s="8"/>
      <c r="D40" s="8"/>
      <c r="E40" s="8"/>
      <c r="F40" s="8"/>
      <c r="G40" s="8"/>
      <c r="H40" s="88" t="s">
        <v>121</v>
      </c>
      <c r="I40" s="17">
        <f>SUM(I28:I39)</f>
        <v>1445.9999999999998</v>
      </c>
      <c r="J40" s="8"/>
      <c r="K40" s="8"/>
      <c r="L40" s="8"/>
      <c r="M40" s="8"/>
      <c r="N40" s="17">
        <f t="shared" ref="N40:O40" si="199">SUM(N28:N39)</f>
        <v>1573.9</v>
      </c>
      <c r="O40" s="17">
        <f t="shared" si="199"/>
        <v>-9363.1999999999971</v>
      </c>
      <c r="P40" s="8"/>
      <c r="Q40" s="8"/>
      <c r="R40" s="8"/>
      <c r="S40" s="8"/>
      <c r="T40" s="17">
        <f>SUM(T28:T39)</f>
        <v>2597.6</v>
      </c>
      <c r="U40" s="8"/>
      <c r="V40" s="8"/>
    </row>
    <row r="41" spans="1:22" ht="15.75" x14ac:dyDescent="0.25">
      <c r="A41" s="12">
        <v>25</v>
      </c>
      <c r="B41" s="22" t="s">
        <v>259</v>
      </c>
      <c r="C41" s="19" t="s">
        <v>32</v>
      </c>
      <c r="D41" s="11" t="s">
        <v>32</v>
      </c>
      <c r="E41" s="8">
        <v>3397.2</v>
      </c>
      <c r="F41" s="8">
        <f>E39</f>
        <v>3281.2</v>
      </c>
      <c r="G41" s="17">
        <f t="shared" ref="G41" si="200">E41-F41</f>
        <v>116</v>
      </c>
      <c r="H41" s="17">
        <f>H39</f>
        <v>1</v>
      </c>
      <c r="I41" s="17">
        <f t="shared" ref="I41" si="201">G41*H41</f>
        <v>116</v>
      </c>
      <c r="J41" s="8">
        <v>3849.6</v>
      </c>
      <c r="K41" s="8">
        <f>J39</f>
        <v>3782</v>
      </c>
      <c r="L41" s="17">
        <f t="shared" ref="L41" si="202">J41-K41</f>
        <v>67.599999999999909</v>
      </c>
      <c r="M41" s="17">
        <f>M39</f>
        <v>1</v>
      </c>
      <c r="N41" s="17">
        <f t="shared" ref="N41" si="203">L41*M41</f>
        <v>67.599999999999909</v>
      </c>
      <c r="O41" s="17">
        <f t="shared" ref="O41:O42" si="204">N41-I41</f>
        <v>-48.400000000000091</v>
      </c>
      <c r="P41" s="8">
        <v>6776</v>
      </c>
      <c r="Q41" s="17">
        <f>P39</f>
        <v>6580</v>
      </c>
      <c r="R41" s="19">
        <f t="shared" ref="R41" si="205">P41-Q41</f>
        <v>196</v>
      </c>
      <c r="S41" s="17">
        <f>S39</f>
        <v>1</v>
      </c>
      <c r="T41" s="19">
        <f t="shared" ref="T41" si="206">R41*S41</f>
        <v>196</v>
      </c>
      <c r="U41" s="8"/>
      <c r="V41" s="8"/>
    </row>
    <row r="42" spans="1:22" ht="15.75" x14ac:dyDescent="0.25">
      <c r="A42" s="12">
        <v>26</v>
      </c>
      <c r="B42" s="22" t="s">
        <v>263</v>
      </c>
      <c r="C42" s="19" t="s">
        <v>32</v>
      </c>
      <c r="D42" s="11" t="s">
        <v>32</v>
      </c>
      <c r="E42" s="8">
        <v>3506.5</v>
      </c>
      <c r="F42" s="8">
        <f t="shared" ref="F42:F47" si="207">E41</f>
        <v>3397.2</v>
      </c>
      <c r="G42" s="17">
        <f t="shared" ref="G42" si="208">E42-F42</f>
        <v>109.30000000000018</v>
      </c>
      <c r="H42" s="17">
        <f t="shared" ref="H42:H82" si="209">H41</f>
        <v>1</v>
      </c>
      <c r="I42" s="17">
        <f t="shared" ref="I42" si="210">G42*H42</f>
        <v>109.30000000000018</v>
      </c>
      <c r="J42" s="8">
        <v>3911.1</v>
      </c>
      <c r="K42" s="8">
        <f t="shared" ref="K42:K47" si="211">J41</f>
        <v>3849.6</v>
      </c>
      <c r="L42" s="17">
        <f t="shared" ref="L42" si="212">J42-K42</f>
        <v>61.5</v>
      </c>
      <c r="M42" s="17">
        <f t="shared" ref="M42:M82" si="213">M41</f>
        <v>1</v>
      </c>
      <c r="N42" s="17">
        <f t="shared" ref="N42" si="214">L42*M42</f>
        <v>61.5</v>
      </c>
      <c r="O42" s="17">
        <f t="shared" si="204"/>
        <v>-47.800000000000182</v>
      </c>
      <c r="P42" s="8">
        <v>6942.3</v>
      </c>
      <c r="Q42" s="17">
        <f t="shared" ref="Q42:Q47" si="215">P41</f>
        <v>6776</v>
      </c>
      <c r="R42" s="19">
        <f t="shared" ref="R42" si="216">P42-Q42</f>
        <v>166.30000000000018</v>
      </c>
      <c r="S42" s="17">
        <f t="shared" ref="S42:S82" si="217">S41</f>
        <v>1</v>
      </c>
      <c r="T42" s="19">
        <f t="shared" ref="T42" si="218">R42*S42</f>
        <v>166.30000000000018</v>
      </c>
      <c r="U42" s="8"/>
      <c r="V42" s="8"/>
    </row>
    <row r="43" spans="1:22" ht="15.75" x14ac:dyDescent="0.25">
      <c r="A43" s="12">
        <v>27</v>
      </c>
      <c r="B43" s="22" t="s">
        <v>265</v>
      </c>
      <c r="C43" s="19" t="s">
        <v>32</v>
      </c>
      <c r="D43" s="11" t="s">
        <v>32</v>
      </c>
      <c r="E43" s="8">
        <v>3601.3</v>
      </c>
      <c r="F43" s="8">
        <f t="shared" si="207"/>
        <v>3506.5</v>
      </c>
      <c r="G43" s="17">
        <f t="shared" ref="G43" si="219">E43-F43</f>
        <v>94.800000000000182</v>
      </c>
      <c r="H43" s="17">
        <f t="shared" si="209"/>
        <v>1</v>
      </c>
      <c r="I43" s="17">
        <f t="shared" ref="I43" si="220">G43*H43</f>
        <v>94.800000000000182</v>
      </c>
      <c r="J43" s="8">
        <v>3961.9</v>
      </c>
      <c r="K43" s="8">
        <f t="shared" si="211"/>
        <v>3911.1</v>
      </c>
      <c r="L43" s="17">
        <f t="shared" ref="L43" si="221">J43-K43</f>
        <v>50.800000000000182</v>
      </c>
      <c r="M43" s="17">
        <f t="shared" si="213"/>
        <v>1</v>
      </c>
      <c r="N43" s="17">
        <f t="shared" ref="N43" si="222">L43*M43</f>
        <v>50.800000000000182</v>
      </c>
      <c r="O43" s="17">
        <f t="shared" ref="O43" si="223">N43-I43</f>
        <v>-44</v>
      </c>
      <c r="P43" s="8">
        <v>7065.5</v>
      </c>
      <c r="Q43" s="17">
        <f t="shared" si="215"/>
        <v>6942.3</v>
      </c>
      <c r="R43" s="19">
        <f t="shared" ref="R43" si="224">P43-Q43</f>
        <v>123.19999999999982</v>
      </c>
      <c r="S43" s="17">
        <f t="shared" si="217"/>
        <v>1</v>
      </c>
      <c r="T43" s="19">
        <f t="shared" ref="T43" si="225">R43*S43</f>
        <v>123.19999999999982</v>
      </c>
      <c r="U43" s="8"/>
      <c r="V43" s="8"/>
    </row>
    <row r="44" spans="1:22" ht="15.75" x14ac:dyDescent="0.25">
      <c r="A44" s="12">
        <v>28</v>
      </c>
      <c r="B44" s="22" t="s">
        <v>266</v>
      </c>
      <c r="C44" s="19" t="s">
        <v>32</v>
      </c>
      <c r="D44" s="11" t="s">
        <v>32</v>
      </c>
      <c r="E44" s="8">
        <v>3687.8</v>
      </c>
      <c r="F44" s="8">
        <f t="shared" si="207"/>
        <v>3601.3</v>
      </c>
      <c r="G44" s="17">
        <f t="shared" ref="G44" si="226">E44-F44</f>
        <v>86.5</v>
      </c>
      <c r="H44" s="17">
        <f t="shared" si="209"/>
        <v>1</v>
      </c>
      <c r="I44" s="17">
        <f t="shared" ref="I44" si="227">G44*H44</f>
        <v>86.5</v>
      </c>
      <c r="J44" s="8">
        <v>4026.1</v>
      </c>
      <c r="K44" s="8">
        <f t="shared" si="211"/>
        <v>3961.9</v>
      </c>
      <c r="L44" s="17">
        <f t="shared" ref="L44" si="228">J44-K44</f>
        <v>64.199999999999818</v>
      </c>
      <c r="M44" s="17">
        <f t="shared" si="213"/>
        <v>1</v>
      </c>
      <c r="N44" s="17">
        <f t="shared" ref="N44" si="229">L44*M44</f>
        <v>64.199999999999818</v>
      </c>
      <c r="O44" s="17">
        <f t="shared" ref="O44" si="230">N44-I44</f>
        <v>-22.300000000000182</v>
      </c>
      <c r="P44" s="8">
        <v>7232.8</v>
      </c>
      <c r="Q44" s="17">
        <f t="shared" si="215"/>
        <v>7065.5</v>
      </c>
      <c r="R44" s="19">
        <f t="shared" ref="R44" si="231">P44-Q44</f>
        <v>167.30000000000018</v>
      </c>
      <c r="S44" s="17">
        <f t="shared" si="217"/>
        <v>1</v>
      </c>
      <c r="T44" s="19">
        <f t="shared" ref="T44" si="232">R44*S44</f>
        <v>167.30000000000018</v>
      </c>
      <c r="U44" s="8"/>
      <c r="V44" s="8"/>
    </row>
    <row r="45" spans="1:22" ht="15.75" x14ac:dyDescent="0.25">
      <c r="A45" s="12">
        <v>29</v>
      </c>
      <c r="B45" s="22" t="s">
        <v>267</v>
      </c>
      <c r="C45" s="19" t="s">
        <v>32</v>
      </c>
      <c r="D45" s="11" t="s">
        <v>32</v>
      </c>
      <c r="E45" s="8">
        <v>3782.2</v>
      </c>
      <c r="F45" s="8">
        <f t="shared" si="207"/>
        <v>3687.8</v>
      </c>
      <c r="G45" s="17">
        <f t="shared" ref="G45" si="233">E45-F45</f>
        <v>94.399999999999636</v>
      </c>
      <c r="H45" s="17">
        <f t="shared" si="209"/>
        <v>1</v>
      </c>
      <c r="I45" s="17">
        <f t="shared" ref="I45" si="234">G45*H45</f>
        <v>94.399999999999636</v>
      </c>
      <c r="J45" s="8">
        <v>4121.7</v>
      </c>
      <c r="K45" s="8">
        <f t="shared" si="211"/>
        <v>4026.1</v>
      </c>
      <c r="L45" s="17">
        <f t="shared" ref="L45" si="235">J45-K45</f>
        <v>95.599999999999909</v>
      </c>
      <c r="M45" s="17">
        <f t="shared" si="213"/>
        <v>1</v>
      </c>
      <c r="N45" s="17">
        <f t="shared" ref="N45" si="236">L45*M45</f>
        <v>95.599999999999909</v>
      </c>
      <c r="O45" s="17">
        <f t="shared" ref="O45" si="237">N45-I45</f>
        <v>1.2000000000002728</v>
      </c>
      <c r="P45" s="8">
        <v>7425</v>
      </c>
      <c r="Q45" s="17">
        <f t="shared" si="215"/>
        <v>7232.8</v>
      </c>
      <c r="R45" s="19">
        <f t="shared" ref="R45" si="238">P45-Q45</f>
        <v>192.19999999999982</v>
      </c>
      <c r="S45" s="17">
        <f t="shared" si="217"/>
        <v>1</v>
      </c>
      <c r="T45" s="19">
        <f t="shared" ref="T45" si="239">R45*S45</f>
        <v>192.19999999999982</v>
      </c>
      <c r="U45" s="8"/>
      <c r="V45" s="8"/>
    </row>
    <row r="46" spans="1:22" ht="15.75" x14ac:dyDescent="0.25">
      <c r="A46" s="12">
        <v>30</v>
      </c>
      <c r="B46" s="22" t="s">
        <v>268</v>
      </c>
      <c r="C46" s="19" t="s">
        <v>32</v>
      </c>
      <c r="D46" s="11" t="s">
        <v>32</v>
      </c>
      <c r="E46" s="8">
        <v>3880.9</v>
      </c>
      <c r="F46" s="8">
        <f t="shared" si="207"/>
        <v>3782.2</v>
      </c>
      <c r="G46" s="17">
        <f t="shared" ref="G46" si="240">E46-F46</f>
        <v>98.700000000000273</v>
      </c>
      <c r="H46" s="17">
        <f t="shared" si="209"/>
        <v>1</v>
      </c>
      <c r="I46" s="17">
        <f t="shared" ref="I46" si="241">G46*H46</f>
        <v>98.700000000000273</v>
      </c>
      <c r="J46" s="8">
        <v>4225.8999999999996</v>
      </c>
      <c r="K46" s="8">
        <f t="shared" si="211"/>
        <v>4121.7</v>
      </c>
      <c r="L46" s="17">
        <f t="shared" ref="L46" si="242">J46-K46</f>
        <v>104.19999999999982</v>
      </c>
      <c r="M46" s="17">
        <f t="shared" si="213"/>
        <v>1</v>
      </c>
      <c r="N46" s="17">
        <f t="shared" ref="N46" si="243">L46*M46</f>
        <v>104.19999999999982</v>
      </c>
      <c r="O46" s="17">
        <f t="shared" ref="O46" si="244">N46-I46</f>
        <v>5.4999999999995453</v>
      </c>
      <c r="P46" s="8">
        <v>7612</v>
      </c>
      <c r="Q46" s="17">
        <f t="shared" si="215"/>
        <v>7425</v>
      </c>
      <c r="R46" s="19">
        <f t="shared" ref="R46" si="245">P46-Q46</f>
        <v>187</v>
      </c>
      <c r="S46" s="17">
        <f t="shared" si="217"/>
        <v>1</v>
      </c>
      <c r="T46" s="19">
        <f t="shared" ref="T46" si="246">R46*S46</f>
        <v>187</v>
      </c>
      <c r="U46" s="8"/>
      <c r="V46" s="8"/>
    </row>
    <row r="47" spans="1:22" ht="15.75" x14ac:dyDescent="0.25">
      <c r="A47" s="12">
        <v>31</v>
      </c>
      <c r="B47" s="22" t="s">
        <v>272</v>
      </c>
      <c r="C47" s="19" t="s">
        <v>32</v>
      </c>
      <c r="D47" s="11" t="s">
        <v>32</v>
      </c>
      <c r="E47" s="8">
        <v>3992</v>
      </c>
      <c r="F47" s="8">
        <f t="shared" si="207"/>
        <v>3880.9</v>
      </c>
      <c r="G47" s="17">
        <f t="shared" ref="G47" si="247">E47-F47</f>
        <v>111.09999999999991</v>
      </c>
      <c r="H47" s="17">
        <f t="shared" si="209"/>
        <v>1</v>
      </c>
      <c r="I47" s="17">
        <f t="shared" ref="I47" si="248">G47*H47</f>
        <v>111.09999999999991</v>
      </c>
      <c r="J47" s="8">
        <v>4358</v>
      </c>
      <c r="K47" s="8">
        <f t="shared" si="211"/>
        <v>4225.8999999999996</v>
      </c>
      <c r="L47" s="17">
        <f t="shared" ref="L47" si="249">J47-K47</f>
        <v>132.10000000000036</v>
      </c>
      <c r="M47" s="17">
        <f t="shared" si="213"/>
        <v>1</v>
      </c>
      <c r="N47" s="17">
        <f t="shared" ref="N47" si="250">L47*M47</f>
        <v>132.10000000000036</v>
      </c>
      <c r="O47" s="17">
        <f t="shared" ref="O47" si="251">N47-I47</f>
        <v>21.000000000000455</v>
      </c>
      <c r="P47" s="8">
        <v>7842</v>
      </c>
      <c r="Q47" s="17">
        <f t="shared" si="215"/>
        <v>7612</v>
      </c>
      <c r="R47" s="19">
        <f t="shared" ref="R47" si="252">P47-Q47</f>
        <v>230</v>
      </c>
      <c r="S47" s="17">
        <f t="shared" si="217"/>
        <v>1</v>
      </c>
      <c r="T47" s="19">
        <f t="shared" ref="T47" si="253">R47*S47</f>
        <v>230</v>
      </c>
      <c r="U47" s="8"/>
      <c r="V47" s="8"/>
    </row>
    <row r="48" spans="1:22" ht="15.75" x14ac:dyDescent="0.25">
      <c r="A48" s="12">
        <v>32</v>
      </c>
      <c r="B48" s="22" t="s">
        <v>274</v>
      </c>
      <c r="C48" s="19" t="s">
        <v>32</v>
      </c>
      <c r="D48" s="11" t="s">
        <v>32</v>
      </c>
      <c r="E48" s="8">
        <v>4104.3</v>
      </c>
      <c r="F48" s="8">
        <f t="shared" ref="F48" si="254">E47</f>
        <v>3992</v>
      </c>
      <c r="G48" s="17">
        <f t="shared" ref="G48" si="255">E48-F48</f>
        <v>112.30000000000018</v>
      </c>
      <c r="H48" s="17">
        <f t="shared" si="209"/>
        <v>1</v>
      </c>
      <c r="I48" s="17">
        <f t="shared" ref="I48" si="256">G48*H48</f>
        <v>112.30000000000018</v>
      </c>
      <c r="J48" s="8">
        <v>4515.5</v>
      </c>
      <c r="K48" s="8">
        <f t="shared" ref="K48" si="257">J47</f>
        <v>4358</v>
      </c>
      <c r="L48" s="17">
        <f t="shared" ref="L48" si="258">J48-K48</f>
        <v>157.5</v>
      </c>
      <c r="M48" s="17">
        <f t="shared" si="213"/>
        <v>1</v>
      </c>
      <c r="N48" s="17">
        <f t="shared" ref="N48" si="259">L48*M48</f>
        <v>157.5</v>
      </c>
      <c r="O48" s="17">
        <f t="shared" ref="O48" si="260">N48-I48</f>
        <v>45.199999999999818</v>
      </c>
      <c r="P48" s="8">
        <v>8095.8</v>
      </c>
      <c r="Q48" s="17">
        <f t="shared" ref="Q48" si="261">P47</f>
        <v>7842</v>
      </c>
      <c r="R48" s="19">
        <f t="shared" ref="R48" si="262">P48-Q48</f>
        <v>253.80000000000018</v>
      </c>
      <c r="S48" s="17">
        <f t="shared" si="217"/>
        <v>1</v>
      </c>
      <c r="T48" s="19">
        <f t="shared" ref="T48" si="263">R48*S48</f>
        <v>253.80000000000018</v>
      </c>
      <c r="U48" s="8"/>
      <c r="V48" s="8"/>
    </row>
    <row r="49" spans="1:22" ht="15.75" x14ac:dyDescent="0.25">
      <c r="A49" s="12">
        <v>33</v>
      </c>
      <c r="B49" s="22" t="s">
        <v>276</v>
      </c>
      <c r="C49" s="19" t="s">
        <v>32</v>
      </c>
      <c r="D49" s="11" t="s">
        <v>32</v>
      </c>
      <c r="E49" s="8">
        <v>4207.1000000000004</v>
      </c>
      <c r="F49" s="8">
        <f t="shared" ref="F49" si="264">E48</f>
        <v>4104.3</v>
      </c>
      <c r="G49" s="17">
        <f t="shared" ref="G49" si="265">E49-F49</f>
        <v>102.80000000000018</v>
      </c>
      <c r="H49" s="17">
        <f t="shared" si="209"/>
        <v>1</v>
      </c>
      <c r="I49" s="17">
        <f t="shared" ref="I49" si="266">G49*H49</f>
        <v>102.80000000000018</v>
      </c>
      <c r="J49" s="8">
        <v>4711.2</v>
      </c>
      <c r="K49" s="8">
        <f t="shared" ref="K49" si="267">J48</f>
        <v>4515.5</v>
      </c>
      <c r="L49" s="17">
        <f t="shared" ref="L49" si="268">J49-K49</f>
        <v>195.69999999999982</v>
      </c>
      <c r="M49" s="17">
        <f t="shared" si="213"/>
        <v>1</v>
      </c>
      <c r="N49" s="17">
        <f t="shared" ref="N49" si="269">L49*M49</f>
        <v>195.69999999999982</v>
      </c>
      <c r="O49" s="17">
        <f t="shared" ref="O49" si="270">N49-I49</f>
        <v>92.899999999999636</v>
      </c>
      <c r="P49" s="8">
        <v>8378</v>
      </c>
      <c r="Q49" s="17">
        <f t="shared" ref="Q49" si="271">P48</f>
        <v>8095.8</v>
      </c>
      <c r="R49" s="19">
        <f t="shared" ref="R49" si="272">P49-Q49</f>
        <v>282.19999999999982</v>
      </c>
      <c r="S49" s="17">
        <f t="shared" si="217"/>
        <v>1</v>
      </c>
      <c r="T49" s="19">
        <f t="shared" ref="T49" si="273">R49*S49</f>
        <v>282.19999999999982</v>
      </c>
      <c r="U49" s="8"/>
      <c r="V49" s="8"/>
    </row>
    <row r="50" spans="1:22" ht="15.75" x14ac:dyDescent="0.25">
      <c r="A50" s="12">
        <v>34</v>
      </c>
      <c r="B50" s="22" t="s">
        <v>262</v>
      </c>
      <c r="C50" s="19" t="s">
        <v>32</v>
      </c>
      <c r="D50" s="11" t="s">
        <v>32</v>
      </c>
      <c r="E50" s="8">
        <v>4309.8</v>
      </c>
      <c r="F50" s="8">
        <f t="shared" ref="F50" si="274">E49</f>
        <v>4207.1000000000004</v>
      </c>
      <c r="G50" s="17">
        <f t="shared" ref="G50" si="275">E50-F50</f>
        <v>102.69999999999982</v>
      </c>
      <c r="H50" s="17">
        <f t="shared" si="209"/>
        <v>1</v>
      </c>
      <c r="I50" s="17">
        <f t="shared" ref="I50" si="276">G50*H50</f>
        <v>102.69999999999982</v>
      </c>
      <c r="J50" s="8">
        <v>4872.3999999999996</v>
      </c>
      <c r="K50" s="8">
        <f t="shared" ref="K50" si="277">J49</f>
        <v>4711.2</v>
      </c>
      <c r="L50" s="17">
        <f t="shared" ref="L50" si="278">J50-K50</f>
        <v>161.19999999999982</v>
      </c>
      <c r="M50" s="17">
        <f t="shared" si="213"/>
        <v>1</v>
      </c>
      <c r="N50" s="17">
        <f t="shared" ref="N50" si="279">L50*M50</f>
        <v>161.19999999999982</v>
      </c>
      <c r="O50" s="17">
        <f t="shared" ref="O50" si="280">N50-I50</f>
        <v>58.5</v>
      </c>
      <c r="P50" s="8">
        <v>8628.5</v>
      </c>
      <c r="Q50" s="17">
        <f t="shared" ref="Q50" si="281">P49</f>
        <v>8378</v>
      </c>
      <c r="R50" s="19">
        <f t="shared" ref="R50" si="282">P50-Q50</f>
        <v>250.5</v>
      </c>
      <c r="S50" s="17">
        <f t="shared" si="217"/>
        <v>1</v>
      </c>
      <c r="T50" s="19">
        <f t="shared" ref="T50" si="283">R50*S50</f>
        <v>250.5</v>
      </c>
      <c r="U50" s="8">
        <v>2.87</v>
      </c>
      <c r="V50" s="8">
        <v>0.9</v>
      </c>
    </row>
    <row r="51" spans="1:22" ht="15.75" x14ac:dyDescent="0.25">
      <c r="A51" s="12">
        <v>35</v>
      </c>
      <c r="B51" s="22" t="s">
        <v>277</v>
      </c>
      <c r="C51" s="19" t="s">
        <v>32</v>
      </c>
      <c r="D51" s="11" t="s">
        <v>32</v>
      </c>
      <c r="E51" s="8">
        <v>4408.8</v>
      </c>
      <c r="F51" s="8">
        <f t="shared" ref="F51" si="284">E50</f>
        <v>4309.8</v>
      </c>
      <c r="G51" s="17">
        <f t="shared" ref="G51" si="285">E51-F51</f>
        <v>99</v>
      </c>
      <c r="H51" s="17">
        <f t="shared" si="209"/>
        <v>1</v>
      </c>
      <c r="I51" s="17">
        <f t="shared" ref="I51" si="286">G51*H51</f>
        <v>99</v>
      </c>
      <c r="J51" s="8">
        <v>5033.3999999999996</v>
      </c>
      <c r="K51" s="8">
        <f t="shared" ref="K51" si="287">J50</f>
        <v>4872.3999999999996</v>
      </c>
      <c r="L51" s="17">
        <f t="shared" ref="L51" si="288">J51-K51</f>
        <v>161</v>
      </c>
      <c r="M51" s="17">
        <f t="shared" si="213"/>
        <v>1</v>
      </c>
      <c r="N51" s="17">
        <f t="shared" ref="N51" si="289">L51*M51</f>
        <v>161</v>
      </c>
      <c r="O51" s="17">
        <f t="shared" ref="O51" si="290">N51-I51</f>
        <v>62</v>
      </c>
      <c r="P51" s="8">
        <v>8879.2000000000007</v>
      </c>
      <c r="Q51" s="17">
        <f t="shared" ref="Q51" si="291">P50</f>
        <v>8628.5</v>
      </c>
      <c r="R51" s="19">
        <f t="shared" ref="R51" si="292">P51-Q51</f>
        <v>250.70000000000073</v>
      </c>
      <c r="S51" s="17">
        <f t="shared" si="217"/>
        <v>1</v>
      </c>
      <c r="T51" s="19">
        <f t="shared" ref="T51" si="293">R51*S51</f>
        <v>250.70000000000073</v>
      </c>
      <c r="U51" s="8">
        <v>2.85</v>
      </c>
      <c r="V51" s="8">
        <v>0.9</v>
      </c>
    </row>
    <row r="52" spans="1:22" ht="15.75" x14ac:dyDescent="0.25">
      <c r="A52" s="12">
        <v>36</v>
      </c>
      <c r="B52" s="22" t="s">
        <v>278</v>
      </c>
      <c r="C52" s="19" t="s">
        <v>32</v>
      </c>
      <c r="D52" s="11" t="s">
        <v>32</v>
      </c>
      <c r="E52" s="8">
        <v>4537.7</v>
      </c>
      <c r="F52" s="8">
        <f t="shared" ref="F52" si="294">E51</f>
        <v>4408.8</v>
      </c>
      <c r="G52" s="17">
        <f t="shared" ref="G52" si="295">E52-F52</f>
        <v>128.89999999999964</v>
      </c>
      <c r="H52" s="17">
        <f t="shared" si="209"/>
        <v>1</v>
      </c>
      <c r="I52" s="17">
        <f t="shared" ref="I52" si="296">G52*H52</f>
        <v>128.89999999999964</v>
      </c>
      <c r="J52" s="8">
        <v>5128</v>
      </c>
      <c r="K52" s="8">
        <f t="shared" ref="K52" si="297">J51</f>
        <v>5033.3999999999996</v>
      </c>
      <c r="L52" s="17">
        <f t="shared" ref="L52" si="298">J52-K52</f>
        <v>94.600000000000364</v>
      </c>
      <c r="M52" s="17">
        <f t="shared" si="213"/>
        <v>1</v>
      </c>
      <c r="N52" s="17">
        <f t="shared" ref="N52" si="299">L52*M52</f>
        <v>94.600000000000364</v>
      </c>
      <c r="O52" s="17">
        <f t="shared" ref="O52" si="300">N52-I52</f>
        <v>-34.299999999999272</v>
      </c>
      <c r="P52" s="8">
        <v>9104.2000000000007</v>
      </c>
      <c r="Q52" s="17">
        <f t="shared" ref="Q52" si="301">P51</f>
        <v>8879.2000000000007</v>
      </c>
      <c r="R52" s="19">
        <f t="shared" ref="R52" si="302">P52-Q52</f>
        <v>225</v>
      </c>
      <c r="S52" s="17">
        <f t="shared" si="217"/>
        <v>1</v>
      </c>
      <c r="T52" s="19">
        <f t="shared" ref="T52" si="303">R52*S52</f>
        <v>225</v>
      </c>
      <c r="U52" s="8">
        <v>2.9</v>
      </c>
      <c r="V52" s="8">
        <v>0.9</v>
      </c>
    </row>
    <row r="53" spans="1:22" ht="15.75" x14ac:dyDescent="0.25">
      <c r="A53" s="164"/>
      <c r="B53" s="22"/>
      <c r="C53" s="161"/>
      <c r="D53" s="159"/>
      <c r="E53" s="8"/>
      <c r="F53" s="8"/>
      <c r="G53" s="162"/>
      <c r="H53" s="162"/>
      <c r="I53" s="162"/>
      <c r="J53" s="8"/>
      <c r="K53" s="8"/>
      <c r="L53" s="162"/>
      <c r="M53" s="162"/>
      <c r="N53" s="162"/>
      <c r="O53" s="162"/>
      <c r="P53" s="8"/>
      <c r="Q53" s="162"/>
      <c r="R53" s="161"/>
      <c r="S53" s="162"/>
      <c r="T53" s="161"/>
      <c r="U53" s="8"/>
      <c r="V53" s="8"/>
    </row>
    <row r="54" spans="1:22" ht="15.75" x14ac:dyDescent="0.25">
      <c r="A54" s="12">
        <v>37</v>
      </c>
      <c r="B54" s="22" t="s">
        <v>279</v>
      </c>
      <c r="C54" s="19" t="s">
        <v>32</v>
      </c>
      <c r="D54" s="11" t="s">
        <v>32</v>
      </c>
      <c r="E54" s="8">
        <v>4719</v>
      </c>
      <c r="F54" s="8">
        <f t="shared" ref="F54" si="304">E52</f>
        <v>4537.7</v>
      </c>
      <c r="G54" s="17">
        <f t="shared" ref="G54" si="305">E54-F54</f>
        <v>181.30000000000018</v>
      </c>
      <c r="H54" s="17">
        <f>H52</f>
        <v>1</v>
      </c>
      <c r="I54" s="17">
        <f t="shared" ref="I54" si="306">G54*H54</f>
        <v>181.30000000000018</v>
      </c>
      <c r="J54" s="8">
        <v>5207.8</v>
      </c>
      <c r="K54" s="8">
        <f t="shared" ref="K54" si="307">J52</f>
        <v>5128</v>
      </c>
      <c r="L54" s="17">
        <f t="shared" ref="L54" si="308">J54-K54</f>
        <v>79.800000000000182</v>
      </c>
      <c r="M54" s="17">
        <f>M52</f>
        <v>1</v>
      </c>
      <c r="N54" s="17">
        <f t="shared" ref="N54" si="309">L54*M54</f>
        <v>79.800000000000182</v>
      </c>
      <c r="O54" s="17">
        <f t="shared" ref="O54" si="310">N54-I54</f>
        <v>-101.5</v>
      </c>
      <c r="P54" s="8">
        <v>9322</v>
      </c>
      <c r="Q54" s="17">
        <f t="shared" ref="Q54" si="311">P52</f>
        <v>9104.2000000000007</v>
      </c>
      <c r="R54" s="19">
        <f t="shared" ref="R54" si="312">P54-Q54</f>
        <v>217.79999999999927</v>
      </c>
      <c r="S54" s="17">
        <f>S52</f>
        <v>1</v>
      </c>
      <c r="T54" s="19">
        <f t="shared" ref="T54" si="313">R54*S54</f>
        <v>217.79999999999927</v>
      </c>
      <c r="U54" s="8"/>
      <c r="V54" s="8"/>
    </row>
    <row r="55" spans="1:22" ht="15.75" x14ac:dyDescent="0.25">
      <c r="A55" s="12">
        <v>38</v>
      </c>
      <c r="B55" s="22" t="s">
        <v>280</v>
      </c>
      <c r="C55" s="19" t="s">
        <v>32</v>
      </c>
      <c r="D55" s="11" t="s">
        <v>32</v>
      </c>
      <c r="E55" s="8">
        <v>4901.5</v>
      </c>
      <c r="F55" s="8">
        <f t="shared" ref="F55" si="314">E54</f>
        <v>4719</v>
      </c>
      <c r="G55" s="17">
        <f t="shared" ref="G55" si="315">E55-F55</f>
        <v>182.5</v>
      </c>
      <c r="H55" s="17">
        <f t="shared" si="209"/>
        <v>1</v>
      </c>
      <c r="I55" s="17">
        <f t="shared" ref="I55" si="316">G55*H55</f>
        <v>182.5</v>
      </c>
      <c r="J55" s="8">
        <v>5245.8</v>
      </c>
      <c r="K55" s="8">
        <f t="shared" ref="K55" si="317">J54</f>
        <v>5207.8</v>
      </c>
      <c r="L55" s="17">
        <f t="shared" ref="L55" si="318">J55-K55</f>
        <v>38</v>
      </c>
      <c r="M55" s="17">
        <f t="shared" si="213"/>
        <v>1</v>
      </c>
      <c r="N55" s="17">
        <f t="shared" ref="N55" si="319">L55*M55</f>
        <v>38</v>
      </c>
      <c r="O55" s="17">
        <f t="shared" ref="O55" si="320">N55-I55</f>
        <v>-144.5</v>
      </c>
      <c r="P55" s="8">
        <v>9449</v>
      </c>
      <c r="Q55" s="17">
        <f t="shared" ref="Q55" si="321">P54</f>
        <v>9322</v>
      </c>
      <c r="R55" s="19">
        <f t="shared" ref="R55" si="322">P55-Q55</f>
        <v>127</v>
      </c>
      <c r="S55" s="17">
        <f t="shared" si="217"/>
        <v>1</v>
      </c>
      <c r="T55" s="19">
        <f t="shared" ref="T55" si="323">R55*S55</f>
        <v>127</v>
      </c>
      <c r="U55" s="8">
        <v>2.4</v>
      </c>
      <c r="V55" s="8">
        <v>0.9</v>
      </c>
    </row>
    <row r="56" spans="1:22" ht="15.75" x14ac:dyDescent="0.25">
      <c r="A56" s="12">
        <v>39</v>
      </c>
      <c r="B56" s="22" t="s">
        <v>281</v>
      </c>
      <c r="C56" s="19" t="s">
        <v>32</v>
      </c>
      <c r="D56" s="11" t="s">
        <v>32</v>
      </c>
      <c r="E56" s="8">
        <v>5093.8</v>
      </c>
      <c r="F56" s="8">
        <f t="shared" ref="F56" si="324">E55</f>
        <v>4901.5</v>
      </c>
      <c r="G56" s="17">
        <f t="shared" ref="G56" si="325">E56-F56</f>
        <v>192.30000000000018</v>
      </c>
      <c r="H56" s="17">
        <f t="shared" si="209"/>
        <v>1</v>
      </c>
      <c r="I56" s="17">
        <f t="shared" ref="I56" si="326">G56*H56</f>
        <v>192.30000000000018</v>
      </c>
      <c r="J56" s="8">
        <v>5267.1</v>
      </c>
      <c r="K56" s="8">
        <f t="shared" ref="K56" si="327">J55</f>
        <v>5245.8</v>
      </c>
      <c r="L56" s="17">
        <f t="shared" ref="L56" si="328">J56-K56</f>
        <v>21.300000000000182</v>
      </c>
      <c r="M56" s="17">
        <f t="shared" si="213"/>
        <v>1</v>
      </c>
      <c r="N56" s="17">
        <f t="shared" ref="N56" si="329">L56*M56</f>
        <v>21.300000000000182</v>
      </c>
      <c r="O56" s="17">
        <f t="shared" ref="O56" si="330">N56-I56</f>
        <v>-171</v>
      </c>
      <c r="P56" s="8">
        <v>9570</v>
      </c>
      <c r="Q56" s="17">
        <f t="shared" ref="Q56" si="331">P55</f>
        <v>9449</v>
      </c>
      <c r="R56" s="19">
        <f t="shared" ref="R56" si="332">P56-Q56</f>
        <v>121</v>
      </c>
      <c r="S56" s="17">
        <f t="shared" si="217"/>
        <v>1</v>
      </c>
      <c r="T56" s="19">
        <f t="shared" ref="T56" si="333">R56*S56</f>
        <v>121</v>
      </c>
      <c r="U56" s="8">
        <v>3.6</v>
      </c>
      <c r="V56" s="8">
        <v>0.9</v>
      </c>
    </row>
    <row r="57" spans="1:22" ht="15.75" x14ac:dyDescent="0.25">
      <c r="A57" s="12">
        <v>40</v>
      </c>
      <c r="B57" s="22" t="s">
        <v>282</v>
      </c>
      <c r="C57" s="19" t="s">
        <v>32</v>
      </c>
      <c r="D57" s="11" t="s">
        <v>32</v>
      </c>
      <c r="E57" s="8">
        <v>5297.8</v>
      </c>
      <c r="F57" s="8">
        <f t="shared" ref="F57" si="334">E56</f>
        <v>5093.8</v>
      </c>
      <c r="G57" s="17">
        <f t="shared" ref="G57" si="335">E57-F57</f>
        <v>204</v>
      </c>
      <c r="H57" s="17">
        <f t="shared" si="209"/>
        <v>1</v>
      </c>
      <c r="I57" s="17">
        <f t="shared" ref="I57" si="336">G57*H57</f>
        <v>204</v>
      </c>
      <c r="J57" s="8">
        <v>5289</v>
      </c>
      <c r="K57" s="8">
        <f t="shared" ref="K57" si="337">J56</f>
        <v>5267.1</v>
      </c>
      <c r="L57" s="17">
        <f t="shared" ref="L57" si="338">J57-K57</f>
        <v>21.899999999999636</v>
      </c>
      <c r="M57" s="17">
        <f t="shared" si="213"/>
        <v>1</v>
      </c>
      <c r="N57" s="17">
        <f t="shared" ref="N57" si="339">L57*M57</f>
        <v>21.899999999999636</v>
      </c>
      <c r="O57" s="17">
        <f t="shared" ref="O57" si="340">N57-I57</f>
        <v>-182.10000000000036</v>
      </c>
      <c r="P57" s="8">
        <v>9726</v>
      </c>
      <c r="Q57" s="17">
        <f t="shared" ref="Q57" si="341">P56</f>
        <v>9570</v>
      </c>
      <c r="R57" s="19">
        <f t="shared" ref="R57" si="342">P57-Q57</f>
        <v>156</v>
      </c>
      <c r="S57" s="17">
        <f t="shared" si="217"/>
        <v>1</v>
      </c>
      <c r="T57" s="19">
        <f t="shared" ref="T57" si="343">R57*S57</f>
        <v>156</v>
      </c>
      <c r="U57" s="8"/>
      <c r="V57" s="8"/>
    </row>
    <row r="58" spans="1:22" ht="15.75" x14ac:dyDescent="0.25">
      <c r="A58" s="12">
        <v>41</v>
      </c>
      <c r="B58" s="22" t="s">
        <v>283</v>
      </c>
      <c r="C58" s="19" t="s">
        <v>32</v>
      </c>
      <c r="D58" s="11" t="s">
        <v>32</v>
      </c>
      <c r="E58" s="8">
        <v>5487.3</v>
      </c>
      <c r="F58" s="8">
        <f t="shared" ref="F58" si="344">E57</f>
        <v>5297.8</v>
      </c>
      <c r="G58" s="17">
        <f t="shared" ref="G58" si="345">E58-F58</f>
        <v>189.5</v>
      </c>
      <c r="H58" s="17">
        <f t="shared" si="209"/>
        <v>1</v>
      </c>
      <c r="I58" s="17">
        <f t="shared" ref="I58" si="346">G58*H58</f>
        <v>189.5</v>
      </c>
      <c r="J58" s="8">
        <v>5344.3</v>
      </c>
      <c r="K58" s="8">
        <f t="shared" ref="K58" si="347">J57</f>
        <v>5289</v>
      </c>
      <c r="L58" s="17">
        <f t="shared" ref="L58" si="348">J58-K58</f>
        <v>55.300000000000182</v>
      </c>
      <c r="M58" s="17">
        <f t="shared" si="213"/>
        <v>1</v>
      </c>
      <c r="N58" s="17">
        <f t="shared" ref="N58" si="349">L58*M58</f>
        <v>55.300000000000182</v>
      </c>
      <c r="O58" s="17">
        <f t="shared" ref="O58" si="350">N58-I58</f>
        <v>-134.19999999999982</v>
      </c>
      <c r="P58" s="8">
        <v>9892.5</v>
      </c>
      <c r="Q58" s="17">
        <f t="shared" ref="Q58" si="351">P57</f>
        <v>9726</v>
      </c>
      <c r="R58" s="19">
        <f t="shared" ref="R58" si="352">P58-Q58</f>
        <v>166.5</v>
      </c>
      <c r="S58" s="17">
        <f t="shared" si="217"/>
        <v>1</v>
      </c>
      <c r="T58" s="19">
        <f t="shared" ref="T58" si="353">R58*S58</f>
        <v>166.5</v>
      </c>
      <c r="U58" s="8">
        <v>3.4</v>
      </c>
      <c r="V58" s="8">
        <v>0.9</v>
      </c>
    </row>
    <row r="59" spans="1:22" ht="15.75" x14ac:dyDescent="0.25">
      <c r="A59" s="12">
        <v>42</v>
      </c>
      <c r="B59" s="22" t="s">
        <v>284</v>
      </c>
      <c r="C59" s="19" t="s">
        <v>32</v>
      </c>
      <c r="D59" s="11" t="s">
        <v>32</v>
      </c>
      <c r="E59" s="8">
        <v>5667.5</v>
      </c>
      <c r="F59" s="8">
        <f t="shared" ref="F59" si="354">E58</f>
        <v>5487.3</v>
      </c>
      <c r="G59" s="17">
        <f t="shared" ref="G59" si="355">E59-F59</f>
        <v>180.19999999999982</v>
      </c>
      <c r="H59" s="17">
        <f t="shared" si="209"/>
        <v>1</v>
      </c>
      <c r="I59" s="17">
        <f t="shared" ref="I59" si="356">G59*H59</f>
        <v>180.19999999999982</v>
      </c>
      <c r="J59" s="8">
        <v>5422.7</v>
      </c>
      <c r="K59" s="8">
        <f t="shared" ref="K59" si="357">J58</f>
        <v>5344.3</v>
      </c>
      <c r="L59" s="17">
        <f t="shared" ref="L59" si="358">J59-K59</f>
        <v>78.399999999999636</v>
      </c>
      <c r="M59" s="17">
        <f t="shared" si="213"/>
        <v>1</v>
      </c>
      <c r="N59" s="17">
        <f t="shared" ref="N59" si="359">L59*M59</f>
        <v>78.399999999999636</v>
      </c>
      <c r="O59" s="17">
        <f t="shared" ref="O59" si="360">N59-I59</f>
        <v>-101.80000000000018</v>
      </c>
      <c r="P59" s="8">
        <v>10110</v>
      </c>
      <c r="Q59" s="17">
        <f t="shared" ref="Q59" si="361">P58</f>
        <v>9892.5</v>
      </c>
      <c r="R59" s="19">
        <f t="shared" ref="R59" si="362">P59-Q59</f>
        <v>217.5</v>
      </c>
      <c r="S59" s="17">
        <f t="shared" si="217"/>
        <v>1</v>
      </c>
      <c r="T59" s="19">
        <f t="shared" ref="T59" si="363">R59*S59</f>
        <v>217.5</v>
      </c>
      <c r="U59" s="8">
        <v>3.5</v>
      </c>
      <c r="V59" s="8">
        <v>0.9</v>
      </c>
    </row>
    <row r="60" spans="1:22" ht="15.75" x14ac:dyDescent="0.25">
      <c r="A60" s="12">
        <v>43</v>
      </c>
      <c r="B60" s="22" t="s">
        <v>286</v>
      </c>
      <c r="C60" s="19" t="s">
        <v>32</v>
      </c>
      <c r="D60" s="11" t="s">
        <v>32</v>
      </c>
      <c r="E60" s="8">
        <v>5847.5</v>
      </c>
      <c r="F60" s="8">
        <f t="shared" ref="F60" si="364">E59</f>
        <v>5667.5</v>
      </c>
      <c r="G60" s="17">
        <f t="shared" ref="G60" si="365">E60-F60</f>
        <v>180</v>
      </c>
      <c r="H60" s="17">
        <f t="shared" si="209"/>
        <v>1</v>
      </c>
      <c r="I60" s="17">
        <f t="shared" ref="I60" si="366">G60*H60</f>
        <v>180</v>
      </c>
      <c r="J60" s="8">
        <v>5494.7</v>
      </c>
      <c r="K60" s="8">
        <f t="shared" ref="K60" si="367">J59</f>
        <v>5422.7</v>
      </c>
      <c r="L60" s="17">
        <f t="shared" ref="L60" si="368">J60-K60</f>
        <v>72</v>
      </c>
      <c r="M60" s="17">
        <f t="shared" si="213"/>
        <v>1</v>
      </c>
      <c r="N60" s="17">
        <f t="shared" ref="N60" si="369">L60*M60</f>
        <v>72</v>
      </c>
      <c r="O60" s="17">
        <f t="shared" ref="O60" si="370">N60-I60</f>
        <v>-108</v>
      </c>
      <c r="P60" s="8">
        <f>P59+211</f>
        <v>10321</v>
      </c>
      <c r="Q60" s="17">
        <f t="shared" ref="Q60" si="371">P59</f>
        <v>10110</v>
      </c>
      <c r="R60" s="19">
        <f t="shared" ref="R60" si="372">P60-Q60</f>
        <v>211</v>
      </c>
      <c r="S60" s="17">
        <f t="shared" si="217"/>
        <v>1</v>
      </c>
      <c r="T60" s="19">
        <f t="shared" ref="T60" si="373">R60*S60</f>
        <v>211</v>
      </c>
      <c r="U60" s="8">
        <v>3.6</v>
      </c>
      <c r="V60" s="8">
        <v>0.9</v>
      </c>
    </row>
    <row r="61" spans="1:22" ht="15.75" x14ac:dyDescent="0.25">
      <c r="A61" s="12">
        <v>44</v>
      </c>
      <c r="B61" s="22" t="s">
        <v>288</v>
      </c>
      <c r="C61" s="19" t="s">
        <v>32</v>
      </c>
      <c r="D61" s="11" t="s">
        <v>32</v>
      </c>
      <c r="E61" s="8">
        <v>6004.4</v>
      </c>
      <c r="F61" s="8">
        <f t="shared" ref="F61" si="374">E60</f>
        <v>5847.5</v>
      </c>
      <c r="G61" s="17">
        <f t="shared" ref="G61" si="375">E61-F61</f>
        <v>156.89999999999964</v>
      </c>
      <c r="H61" s="17">
        <f t="shared" si="209"/>
        <v>1</v>
      </c>
      <c r="I61" s="17">
        <f t="shared" ref="I61" si="376">G61*H61</f>
        <v>156.89999999999964</v>
      </c>
      <c r="J61" s="8">
        <v>5591.4</v>
      </c>
      <c r="K61" s="8">
        <f t="shared" ref="K61" si="377">J60</f>
        <v>5494.7</v>
      </c>
      <c r="L61" s="17">
        <f t="shared" ref="L61" si="378">J61-K61</f>
        <v>96.699999999999818</v>
      </c>
      <c r="M61" s="17">
        <f t="shared" si="213"/>
        <v>1</v>
      </c>
      <c r="N61" s="17">
        <f t="shared" ref="N61" si="379">L61*M61</f>
        <v>96.699999999999818</v>
      </c>
      <c r="O61" s="17">
        <f t="shared" ref="O61" si="380">N61-I61</f>
        <v>-60.199999999999818</v>
      </c>
      <c r="P61" s="8">
        <v>10528</v>
      </c>
      <c r="Q61" s="17">
        <f t="shared" ref="Q61" si="381">P60</f>
        <v>10321</v>
      </c>
      <c r="R61" s="19">
        <f t="shared" ref="R61" si="382">P61-Q61</f>
        <v>207</v>
      </c>
      <c r="S61" s="17">
        <f t="shared" si="217"/>
        <v>1</v>
      </c>
      <c r="T61" s="19">
        <f t="shared" ref="T61" si="383">R61*S61</f>
        <v>207</v>
      </c>
      <c r="U61" s="8">
        <v>3.4</v>
      </c>
      <c r="V61" s="8">
        <v>0.9</v>
      </c>
    </row>
    <row r="62" spans="1:22" ht="15.75" x14ac:dyDescent="0.25">
      <c r="A62" s="12">
        <v>45</v>
      </c>
      <c r="B62" s="22" t="s">
        <v>289</v>
      </c>
      <c r="C62" s="19" t="s">
        <v>32</v>
      </c>
      <c r="D62" s="11" t="s">
        <v>32</v>
      </c>
      <c r="E62" s="8">
        <v>6225.1</v>
      </c>
      <c r="F62" s="8">
        <f t="shared" ref="F62" si="384">E61</f>
        <v>6004.4</v>
      </c>
      <c r="G62" s="17">
        <f t="shared" ref="G62" si="385">E62-F62</f>
        <v>220.70000000000073</v>
      </c>
      <c r="H62" s="17">
        <f t="shared" si="209"/>
        <v>1</v>
      </c>
      <c r="I62" s="17">
        <f t="shared" ref="I62" si="386">G62*H62</f>
        <v>220.70000000000073</v>
      </c>
      <c r="J62" s="8">
        <v>5734.4</v>
      </c>
      <c r="K62" s="8">
        <f t="shared" ref="K62" si="387">J61</f>
        <v>5591.4</v>
      </c>
      <c r="L62" s="17">
        <f t="shared" ref="L62" si="388">J62-K62</f>
        <v>143</v>
      </c>
      <c r="M62" s="17">
        <f t="shared" si="213"/>
        <v>1</v>
      </c>
      <c r="N62" s="17">
        <f t="shared" ref="N62" si="389">L62*M62</f>
        <v>143</v>
      </c>
      <c r="O62" s="17">
        <f t="shared" ref="O62" si="390">N62-I62</f>
        <v>-77.700000000000728</v>
      </c>
      <c r="P62" s="8">
        <v>10773</v>
      </c>
      <c r="Q62" s="17">
        <f t="shared" ref="Q62" si="391">P61</f>
        <v>10528</v>
      </c>
      <c r="R62" s="19">
        <f t="shared" ref="R62" si="392">P62-Q62</f>
        <v>245</v>
      </c>
      <c r="S62" s="17">
        <f t="shared" si="217"/>
        <v>1</v>
      </c>
      <c r="T62" s="19">
        <f t="shared" ref="T62" si="393">R62*S62</f>
        <v>245</v>
      </c>
      <c r="U62" s="8">
        <v>3.5</v>
      </c>
      <c r="V62" s="8">
        <v>0.9</v>
      </c>
    </row>
    <row r="63" spans="1:22" ht="15.75" x14ac:dyDescent="0.25">
      <c r="A63" s="12">
        <v>46</v>
      </c>
      <c r="B63" s="22" t="s">
        <v>290</v>
      </c>
      <c r="C63" s="19" t="s">
        <v>32</v>
      </c>
      <c r="D63" s="11" t="s">
        <v>32</v>
      </c>
      <c r="E63" s="8">
        <v>6403.4</v>
      </c>
      <c r="F63" s="8">
        <f t="shared" ref="F63" si="394">E62</f>
        <v>6225.1</v>
      </c>
      <c r="G63" s="17">
        <f t="shared" ref="G63" si="395">E63-F63</f>
        <v>178.29999999999927</v>
      </c>
      <c r="H63" s="17">
        <f t="shared" si="209"/>
        <v>1</v>
      </c>
      <c r="I63" s="17">
        <f t="shared" ref="I63" si="396">G63*H63</f>
        <v>178.29999999999927</v>
      </c>
      <c r="J63" s="8">
        <v>5869.1</v>
      </c>
      <c r="K63" s="8">
        <f t="shared" ref="K63" si="397">J62</f>
        <v>5734.4</v>
      </c>
      <c r="L63" s="17">
        <f t="shared" ref="L63" si="398">J63-K63</f>
        <v>134.70000000000073</v>
      </c>
      <c r="M63" s="17">
        <f t="shared" si="213"/>
        <v>1</v>
      </c>
      <c r="N63" s="17">
        <f t="shared" ref="N63" si="399">L63*M63</f>
        <v>134.70000000000073</v>
      </c>
      <c r="O63" s="17">
        <f t="shared" ref="O63" si="400">N63-I63</f>
        <v>-43.599999999998545</v>
      </c>
      <c r="P63" s="8">
        <v>11053</v>
      </c>
      <c r="Q63" s="17">
        <f t="shared" ref="Q63" si="401">P62</f>
        <v>10773</v>
      </c>
      <c r="R63" s="19">
        <f t="shared" ref="R63" si="402">P63-Q63</f>
        <v>280</v>
      </c>
      <c r="S63" s="17">
        <f t="shared" si="217"/>
        <v>1</v>
      </c>
      <c r="T63" s="19">
        <f t="shared" ref="T63" si="403">R63*S63</f>
        <v>280</v>
      </c>
      <c r="U63" s="8">
        <v>3.3</v>
      </c>
      <c r="V63" s="8">
        <v>0.9</v>
      </c>
    </row>
    <row r="64" spans="1:22" ht="15.75" x14ac:dyDescent="0.25">
      <c r="A64" s="12">
        <v>47</v>
      </c>
      <c r="B64" s="22" t="s">
        <v>291</v>
      </c>
      <c r="C64" s="19" t="s">
        <v>32</v>
      </c>
      <c r="D64" s="11" t="s">
        <v>32</v>
      </c>
      <c r="E64" s="8">
        <v>6589.3</v>
      </c>
      <c r="F64" s="8">
        <f t="shared" ref="F64:F71" si="404">E63</f>
        <v>6403.4</v>
      </c>
      <c r="G64" s="17">
        <f t="shared" ref="G64:G71" si="405">E64-F64</f>
        <v>185.90000000000055</v>
      </c>
      <c r="H64" s="17">
        <f t="shared" si="209"/>
        <v>1</v>
      </c>
      <c r="I64" s="17">
        <f t="shared" ref="I64:I71" si="406">G64*H64</f>
        <v>185.90000000000055</v>
      </c>
      <c r="J64" s="8">
        <v>5944.2</v>
      </c>
      <c r="K64" s="8">
        <f t="shared" ref="K64:K71" si="407">J63</f>
        <v>5869.1</v>
      </c>
      <c r="L64" s="17">
        <f t="shared" ref="L64:L71" si="408">J64-K64</f>
        <v>75.099999999999454</v>
      </c>
      <c r="M64" s="17">
        <f t="shared" si="213"/>
        <v>1</v>
      </c>
      <c r="N64" s="17">
        <f t="shared" ref="N64:N71" si="409">L64*M64</f>
        <v>75.099999999999454</v>
      </c>
      <c r="O64" s="17">
        <f t="shared" ref="O64:O71" si="410">N64-I64</f>
        <v>-110.80000000000109</v>
      </c>
      <c r="P64" s="8">
        <v>11225</v>
      </c>
      <c r="Q64" s="17">
        <f t="shared" ref="Q64:Q71" si="411">P63</f>
        <v>11053</v>
      </c>
      <c r="R64" s="19">
        <f t="shared" ref="R64:R71" si="412">P64-Q64</f>
        <v>172</v>
      </c>
      <c r="S64" s="17">
        <f t="shared" si="217"/>
        <v>1</v>
      </c>
      <c r="T64" s="19">
        <f t="shared" ref="T64:T71" si="413">R64*S64</f>
        <v>172</v>
      </c>
      <c r="U64" s="8">
        <v>3.4</v>
      </c>
      <c r="V64" s="8">
        <v>0.9</v>
      </c>
    </row>
    <row r="65" spans="1:22" ht="15.75" x14ac:dyDescent="0.25">
      <c r="A65" s="12">
        <v>48</v>
      </c>
      <c r="B65" s="22" t="s">
        <v>292</v>
      </c>
      <c r="C65" s="19" t="s">
        <v>32</v>
      </c>
      <c r="D65" s="11" t="s">
        <v>32</v>
      </c>
      <c r="E65" s="8">
        <v>6795.8</v>
      </c>
      <c r="F65" s="8">
        <f t="shared" si="404"/>
        <v>6589.3</v>
      </c>
      <c r="G65" s="17">
        <f t="shared" si="405"/>
        <v>206.5</v>
      </c>
      <c r="H65" s="17">
        <f t="shared" si="209"/>
        <v>1</v>
      </c>
      <c r="I65" s="17">
        <f t="shared" si="406"/>
        <v>206.5</v>
      </c>
      <c r="J65" s="8">
        <v>6004.2</v>
      </c>
      <c r="K65" s="8">
        <f t="shared" si="407"/>
        <v>5944.2</v>
      </c>
      <c r="L65" s="17">
        <f t="shared" si="408"/>
        <v>60</v>
      </c>
      <c r="M65" s="17">
        <f t="shared" si="213"/>
        <v>1</v>
      </c>
      <c r="N65" s="17">
        <f t="shared" si="409"/>
        <v>60</v>
      </c>
      <c r="O65" s="17">
        <f t="shared" si="410"/>
        <v>-146.5</v>
      </c>
      <c r="P65" s="8">
        <v>11450</v>
      </c>
      <c r="Q65" s="17">
        <f t="shared" si="411"/>
        <v>11225</v>
      </c>
      <c r="R65" s="19">
        <f t="shared" si="412"/>
        <v>225</v>
      </c>
      <c r="S65" s="17">
        <f t="shared" si="217"/>
        <v>1</v>
      </c>
      <c r="T65" s="19">
        <f t="shared" si="413"/>
        <v>225</v>
      </c>
      <c r="U65" s="8">
        <v>3.2</v>
      </c>
      <c r="V65" s="8">
        <v>0.9</v>
      </c>
    </row>
    <row r="66" spans="1:22" ht="15.75" x14ac:dyDescent="0.25">
      <c r="A66" s="164"/>
      <c r="B66" s="22"/>
      <c r="C66" s="161"/>
      <c r="D66" s="159"/>
      <c r="E66" s="8"/>
      <c r="F66" s="8"/>
      <c r="G66" s="162"/>
      <c r="H66" s="162"/>
      <c r="I66" s="162"/>
      <c r="J66" s="8"/>
      <c r="K66" s="8"/>
      <c r="L66" s="162"/>
      <c r="M66" s="162"/>
      <c r="N66" s="162"/>
      <c r="O66" s="162"/>
      <c r="P66" s="8"/>
      <c r="Q66" s="162"/>
      <c r="R66" s="161"/>
      <c r="S66" s="162"/>
      <c r="T66" s="161"/>
      <c r="U66" s="8"/>
      <c r="V66" s="8"/>
    </row>
    <row r="67" spans="1:22" ht="15.75" x14ac:dyDescent="0.25">
      <c r="A67" s="12">
        <v>49</v>
      </c>
      <c r="B67" s="22" t="s">
        <v>293</v>
      </c>
      <c r="C67" s="19" t="s">
        <v>32</v>
      </c>
      <c r="D67" s="11" t="s">
        <v>32</v>
      </c>
      <c r="E67" s="8">
        <v>6973.1</v>
      </c>
      <c r="F67" s="8">
        <f>E65</f>
        <v>6795.8</v>
      </c>
      <c r="G67" s="17">
        <f t="shared" si="405"/>
        <v>177.30000000000018</v>
      </c>
      <c r="H67" s="17">
        <f>H65</f>
        <v>1</v>
      </c>
      <c r="I67" s="17">
        <f t="shared" si="406"/>
        <v>177.30000000000018</v>
      </c>
      <c r="J67" s="8">
        <v>6070.8</v>
      </c>
      <c r="K67" s="8">
        <f>J65</f>
        <v>6004.2</v>
      </c>
      <c r="L67" s="17">
        <f t="shared" si="408"/>
        <v>66.600000000000364</v>
      </c>
      <c r="M67" s="17">
        <f>M65</f>
        <v>1</v>
      </c>
      <c r="N67" s="17">
        <f t="shared" si="409"/>
        <v>66.600000000000364</v>
      </c>
      <c r="O67" s="17">
        <f t="shared" si="410"/>
        <v>-110.69999999999982</v>
      </c>
      <c r="P67" s="8">
        <v>11630</v>
      </c>
      <c r="Q67" s="17">
        <f>P65</f>
        <v>11450</v>
      </c>
      <c r="R67" s="19">
        <f t="shared" si="412"/>
        <v>180</v>
      </c>
      <c r="S67" s="17">
        <f>S65</f>
        <v>1</v>
      </c>
      <c r="T67" s="19">
        <f t="shared" si="413"/>
        <v>180</v>
      </c>
      <c r="U67" s="8">
        <v>3.3</v>
      </c>
      <c r="V67" s="8">
        <v>0.9</v>
      </c>
    </row>
    <row r="68" spans="1:22" ht="15.75" x14ac:dyDescent="0.25">
      <c r="A68" s="12">
        <v>50</v>
      </c>
      <c r="B68" s="22" t="s">
        <v>294</v>
      </c>
      <c r="C68" s="19" t="s">
        <v>32</v>
      </c>
      <c r="D68" s="11" t="s">
        <v>32</v>
      </c>
      <c r="E68" s="8">
        <v>7160.1</v>
      </c>
      <c r="F68" s="8">
        <f t="shared" si="404"/>
        <v>6973.1</v>
      </c>
      <c r="G68" s="17">
        <f t="shared" si="405"/>
        <v>187</v>
      </c>
      <c r="H68" s="17">
        <f t="shared" si="209"/>
        <v>1</v>
      </c>
      <c r="I68" s="17">
        <f t="shared" si="406"/>
        <v>187</v>
      </c>
      <c r="J68" s="8">
        <v>6095.7</v>
      </c>
      <c r="K68" s="8">
        <f t="shared" si="407"/>
        <v>6070.8</v>
      </c>
      <c r="L68" s="17">
        <f t="shared" si="408"/>
        <v>24.899999999999636</v>
      </c>
      <c r="M68" s="17">
        <f t="shared" si="213"/>
        <v>1</v>
      </c>
      <c r="N68" s="17">
        <f t="shared" si="409"/>
        <v>24.899999999999636</v>
      </c>
      <c r="O68" s="17">
        <f t="shared" si="410"/>
        <v>-162.10000000000036</v>
      </c>
      <c r="P68" s="8">
        <v>11740</v>
      </c>
      <c r="Q68" s="17">
        <f t="shared" si="411"/>
        <v>11630</v>
      </c>
      <c r="R68" s="19">
        <f t="shared" si="412"/>
        <v>110</v>
      </c>
      <c r="S68" s="17">
        <f t="shared" si="217"/>
        <v>1</v>
      </c>
      <c r="T68" s="19">
        <f t="shared" si="413"/>
        <v>110</v>
      </c>
      <c r="U68" s="8">
        <v>3.4</v>
      </c>
      <c r="V68" s="8">
        <v>0.9</v>
      </c>
    </row>
    <row r="69" spans="1:22" ht="15.75" x14ac:dyDescent="0.25">
      <c r="A69" s="12">
        <v>51</v>
      </c>
      <c r="B69" s="22" t="s">
        <v>295</v>
      </c>
      <c r="C69" s="19" t="s">
        <v>32</v>
      </c>
      <c r="D69" s="11" t="s">
        <v>32</v>
      </c>
      <c r="E69" s="8">
        <v>7337.1</v>
      </c>
      <c r="F69" s="8">
        <f t="shared" si="404"/>
        <v>7160.1</v>
      </c>
      <c r="G69" s="17">
        <f t="shared" si="405"/>
        <v>177</v>
      </c>
      <c r="H69" s="17">
        <f t="shared" si="209"/>
        <v>1</v>
      </c>
      <c r="I69" s="17">
        <f t="shared" si="406"/>
        <v>177</v>
      </c>
      <c r="J69" s="8">
        <v>6117</v>
      </c>
      <c r="K69" s="8">
        <f t="shared" si="407"/>
        <v>6095.7</v>
      </c>
      <c r="L69" s="17">
        <f t="shared" si="408"/>
        <v>21.300000000000182</v>
      </c>
      <c r="M69" s="17">
        <f t="shared" si="213"/>
        <v>1</v>
      </c>
      <c r="N69" s="17">
        <f t="shared" si="409"/>
        <v>21.300000000000182</v>
      </c>
      <c r="O69" s="17">
        <f t="shared" si="410"/>
        <v>-155.69999999999982</v>
      </c>
      <c r="P69" s="8">
        <v>11876</v>
      </c>
      <c r="Q69" s="17">
        <f t="shared" si="411"/>
        <v>11740</v>
      </c>
      <c r="R69" s="19">
        <f t="shared" si="412"/>
        <v>136</v>
      </c>
      <c r="S69" s="17">
        <f t="shared" si="217"/>
        <v>1</v>
      </c>
      <c r="T69" s="19">
        <f t="shared" si="413"/>
        <v>136</v>
      </c>
      <c r="U69" s="8">
        <v>3.4</v>
      </c>
      <c r="V69" s="8">
        <v>0.9</v>
      </c>
    </row>
    <row r="70" spans="1:22" ht="15.75" x14ac:dyDescent="0.25">
      <c r="A70" s="12">
        <v>52</v>
      </c>
      <c r="B70" s="22" t="s">
        <v>296</v>
      </c>
      <c r="C70" s="19" t="s">
        <v>32</v>
      </c>
      <c r="D70" s="11" t="s">
        <v>32</v>
      </c>
      <c r="E70" s="8">
        <v>7494.3</v>
      </c>
      <c r="F70" s="8">
        <f t="shared" si="404"/>
        <v>7337.1</v>
      </c>
      <c r="G70" s="17">
        <f t="shared" si="405"/>
        <v>157.19999999999982</v>
      </c>
      <c r="H70" s="17">
        <f t="shared" si="209"/>
        <v>1</v>
      </c>
      <c r="I70" s="17">
        <f t="shared" si="406"/>
        <v>157.19999999999982</v>
      </c>
      <c r="J70" s="8">
        <v>6149.5</v>
      </c>
      <c r="K70" s="8">
        <f t="shared" si="407"/>
        <v>6117</v>
      </c>
      <c r="L70" s="17">
        <f t="shared" si="408"/>
        <v>32.5</v>
      </c>
      <c r="M70" s="17">
        <f t="shared" si="213"/>
        <v>1</v>
      </c>
      <c r="N70" s="17">
        <f t="shared" si="409"/>
        <v>32.5</v>
      </c>
      <c r="O70" s="17">
        <f t="shared" si="410"/>
        <v>-124.69999999999982</v>
      </c>
      <c r="P70" s="8">
        <v>12023</v>
      </c>
      <c r="Q70" s="17">
        <f t="shared" si="411"/>
        <v>11876</v>
      </c>
      <c r="R70" s="19">
        <f t="shared" si="412"/>
        <v>147</v>
      </c>
      <c r="S70" s="17">
        <f t="shared" si="217"/>
        <v>1</v>
      </c>
      <c r="T70" s="19">
        <f t="shared" si="413"/>
        <v>147</v>
      </c>
      <c r="U70" s="8">
        <v>3.3</v>
      </c>
      <c r="V70" s="8">
        <v>0.92</v>
      </c>
    </row>
    <row r="71" spans="1:22" ht="15.75" x14ac:dyDescent="0.25">
      <c r="A71" s="12">
        <v>53</v>
      </c>
      <c r="B71" s="22" t="s">
        <v>297</v>
      </c>
      <c r="C71" s="19" t="s">
        <v>32</v>
      </c>
      <c r="D71" s="11" t="s">
        <v>32</v>
      </c>
      <c r="E71" s="8">
        <v>7675.5</v>
      </c>
      <c r="F71" s="8">
        <f t="shared" si="404"/>
        <v>7494.3</v>
      </c>
      <c r="G71" s="17">
        <f t="shared" si="405"/>
        <v>181.19999999999982</v>
      </c>
      <c r="H71" s="17">
        <f t="shared" si="209"/>
        <v>1</v>
      </c>
      <c r="I71" s="17">
        <f t="shared" si="406"/>
        <v>181.19999999999982</v>
      </c>
      <c r="J71" s="8">
        <v>6209.9</v>
      </c>
      <c r="K71" s="8">
        <f t="shared" si="407"/>
        <v>6149.5</v>
      </c>
      <c r="L71" s="17">
        <f t="shared" si="408"/>
        <v>60.399999999999636</v>
      </c>
      <c r="M71" s="17">
        <f t="shared" si="213"/>
        <v>1</v>
      </c>
      <c r="N71" s="17">
        <f t="shared" si="409"/>
        <v>60.399999999999636</v>
      </c>
      <c r="O71" s="17">
        <f t="shared" si="410"/>
        <v>-120.80000000000018</v>
      </c>
      <c r="P71" s="8">
        <v>12217.4</v>
      </c>
      <c r="Q71" s="17">
        <f t="shared" si="411"/>
        <v>12023</v>
      </c>
      <c r="R71" s="19">
        <f t="shared" si="412"/>
        <v>194.39999999999964</v>
      </c>
      <c r="S71" s="17">
        <f t="shared" si="217"/>
        <v>1</v>
      </c>
      <c r="T71" s="19">
        <f t="shared" si="413"/>
        <v>194.39999999999964</v>
      </c>
      <c r="U71" s="8">
        <v>3.2</v>
      </c>
      <c r="V71" s="8">
        <v>0.92</v>
      </c>
    </row>
    <row r="72" spans="1:22" ht="15.75" x14ac:dyDescent="0.25">
      <c r="A72" s="12">
        <v>54</v>
      </c>
      <c r="B72" s="22" t="s">
        <v>298</v>
      </c>
      <c r="C72" s="19" t="s">
        <v>32</v>
      </c>
      <c r="D72" s="11" t="s">
        <v>32</v>
      </c>
      <c r="E72" s="8">
        <v>7835.5</v>
      </c>
      <c r="F72" s="8">
        <f t="shared" ref="F72" si="414">E71</f>
        <v>7675.5</v>
      </c>
      <c r="G72" s="17">
        <f t="shared" ref="G72" si="415">E72-F72</f>
        <v>160</v>
      </c>
      <c r="H72" s="17">
        <f t="shared" si="209"/>
        <v>1</v>
      </c>
      <c r="I72" s="17">
        <f t="shared" ref="I72" si="416">G72*H72</f>
        <v>160</v>
      </c>
      <c r="J72" s="8">
        <v>6259.9</v>
      </c>
      <c r="K72" s="8">
        <f t="shared" ref="K72" si="417">J71</f>
        <v>6209.9</v>
      </c>
      <c r="L72" s="17">
        <f t="shared" ref="L72" si="418">J72-K72</f>
        <v>50</v>
      </c>
      <c r="M72" s="17">
        <f t="shared" si="213"/>
        <v>1</v>
      </c>
      <c r="N72" s="17">
        <f t="shared" ref="N72" si="419">L72*M72</f>
        <v>50</v>
      </c>
      <c r="O72" s="17">
        <f t="shared" ref="O72" si="420">N72-I72</f>
        <v>-110</v>
      </c>
      <c r="P72" s="8">
        <v>12397.4</v>
      </c>
      <c r="Q72" s="17">
        <f t="shared" ref="Q72" si="421">P71</f>
        <v>12217.4</v>
      </c>
      <c r="R72" s="19">
        <f t="shared" ref="R72" si="422">P72-Q72</f>
        <v>180</v>
      </c>
      <c r="S72" s="17">
        <f t="shared" si="217"/>
        <v>1</v>
      </c>
      <c r="T72" s="19">
        <f t="shared" ref="T72" si="423">R72*S72</f>
        <v>180</v>
      </c>
      <c r="U72" s="8">
        <v>3.1</v>
      </c>
      <c r="V72" s="8">
        <v>0.9</v>
      </c>
    </row>
    <row r="73" spans="1:22" ht="15.75" x14ac:dyDescent="0.25">
      <c r="A73" s="12">
        <v>55</v>
      </c>
      <c r="B73" s="22" t="s">
        <v>299</v>
      </c>
      <c r="C73" s="19" t="s">
        <v>32</v>
      </c>
      <c r="D73" s="11" t="s">
        <v>32</v>
      </c>
      <c r="E73" s="8">
        <v>7993.8</v>
      </c>
      <c r="F73" s="8">
        <f t="shared" ref="F73" si="424">E72</f>
        <v>7835.5</v>
      </c>
      <c r="G73" s="17">
        <f t="shared" ref="G73" si="425">E73-F73</f>
        <v>158.30000000000018</v>
      </c>
      <c r="H73" s="17">
        <f t="shared" si="209"/>
        <v>1</v>
      </c>
      <c r="I73" s="17">
        <f t="shared" ref="I73" si="426">G73*H73</f>
        <v>158.30000000000018</v>
      </c>
      <c r="J73" s="8">
        <v>6403.6</v>
      </c>
      <c r="K73" s="8">
        <f t="shared" ref="K73" si="427">J72</f>
        <v>6259.9</v>
      </c>
      <c r="L73" s="17">
        <f t="shared" ref="L73" si="428">J73-K73</f>
        <v>143.70000000000073</v>
      </c>
      <c r="M73" s="17">
        <f t="shared" si="213"/>
        <v>1</v>
      </c>
      <c r="N73" s="17">
        <f t="shared" ref="N73" si="429">L73*M73</f>
        <v>143.70000000000073</v>
      </c>
      <c r="O73" s="17">
        <f t="shared" ref="O73" si="430">N73-I73</f>
        <v>-14.599999999999454</v>
      </c>
      <c r="P73" s="8">
        <v>12656.7</v>
      </c>
      <c r="Q73" s="17">
        <f t="shared" ref="Q73" si="431">P72</f>
        <v>12397.4</v>
      </c>
      <c r="R73" s="19">
        <f t="shared" ref="R73" si="432">P73-Q73</f>
        <v>259.30000000000109</v>
      </c>
      <c r="S73" s="17">
        <f t="shared" si="217"/>
        <v>1</v>
      </c>
      <c r="T73" s="19">
        <f t="shared" ref="T73" si="433">R73*S73</f>
        <v>259.30000000000109</v>
      </c>
      <c r="U73" s="8">
        <v>3.1</v>
      </c>
      <c r="V73" s="8">
        <v>0.9</v>
      </c>
    </row>
    <row r="74" spans="1:22" ht="15.75" x14ac:dyDescent="0.25">
      <c r="A74" s="12">
        <v>56</v>
      </c>
      <c r="B74" s="22" t="s">
        <v>300</v>
      </c>
      <c r="C74" s="19" t="s">
        <v>32</v>
      </c>
      <c r="D74" s="11" t="s">
        <v>32</v>
      </c>
      <c r="E74" s="8">
        <v>8278.7000000000007</v>
      </c>
      <c r="F74" s="8">
        <f t="shared" ref="F74" si="434">E73</f>
        <v>7993.8</v>
      </c>
      <c r="G74" s="17">
        <f t="shared" ref="G74" si="435">E74-F74</f>
        <v>284.90000000000055</v>
      </c>
      <c r="H74" s="17">
        <f t="shared" si="209"/>
        <v>1</v>
      </c>
      <c r="I74" s="17">
        <f t="shared" ref="I74" si="436">G74*H74</f>
        <v>284.90000000000055</v>
      </c>
      <c r="J74" s="8">
        <v>6404.8</v>
      </c>
      <c r="K74" s="8">
        <f t="shared" ref="K74" si="437">J73</f>
        <v>6403.6</v>
      </c>
      <c r="L74" s="17">
        <f t="shared" ref="L74" si="438">J74-K74</f>
        <v>1.1999999999998181</v>
      </c>
      <c r="M74" s="17">
        <f t="shared" si="213"/>
        <v>1</v>
      </c>
      <c r="N74" s="17">
        <f t="shared" ref="N74" si="439">L74*M74</f>
        <v>1.1999999999998181</v>
      </c>
      <c r="O74" s="17">
        <f t="shared" ref="O74" si="440">N74-I74</f>
        <v>-283.70000000000073</v>
      </c>
      <c r="P74" s="8">
        <v>12706.6</v>
      </c>
      <c r="Q74" s="17">
        <f t="shared" ref="Q74" si="441">P73</f>
        <v>12656.7</v>
      </c>
      <c r="R74" s="19">
        <f t="shared" ref="R74" si="442">P74-Q74</f>
        <v>49.899999999999636</v>
      </c>
      <c r="S74" s="17">
        <f t="shared" si="217"/>
        <v>1</v>
      </c>
      <c r="T74" s="19">
        <f t="shared" ref="T74" si="443">R74*S74</f>
        <v>49.899999999999636</v>
      </c>
      <c r="U74" s="8">
        <v>3.5</v>
      </c>
      <c r="V74" s="8">
        <v>0.9</v>
      </c>
    </row>
    <row r="75" spans="1:22" ht="15.75" x14ac:dyDescent="0.25">
      <c r="A75" s="105">
        <v>57</v>
      </c>
      <c r="B75" s="22" t="s">
        <v>301</v>
      </c>
      <c r="C75" s="111" t="s">
        <v>32</v>
      </c>
      <c r="D75" s="108" t="s">
        <v>32</v>
      </c>
      <c r="E75" s="8">
        <v>8603.5</v>
      </c>
      <c r="F75" s="8">
        <f t="shared" ref="F75:F77" si="444">E74</f>
        <v>8278.7000000000007</v>
      </c>
      <c r="G75" s="106">
        <f t="shared" ref="G75:G77" si="445">E75-F75</f>
        <v>324.79999999999927</v>
      </c>
      <c r="H75" s="106">
        <f t="shared" si="209"/>
        <v>1</v>
      </c>
      <c r="I75" s="106">
        <f t="shared" ref="I75:I77" si="446">G75*H75</f>
        <v>324.79999999999927</v>
      </c>
      <c r="J75" s="8">
        <v>6411.2</v>
      </c>
      <c r="K75" s="8">
        <f t="shared" ref="K75:K77" si="447">J74</f>
        <v>6404.8</v>
      </c>
      <c r="L75" s="106">
        <f t="shared" ref="L75:L77" si="448">J75-K75</f>
        <v>6.3999999999996362</v>
      </c>
      <c r="M75" s="106">
        <f t="shared" si="213"/>
        <v>1</v>
      </c>
      <c r="N75" s="106">
        <f t="shared" ref="N75:N77" si="449">L75*M75</f>
        <v>6.3999999999996362</v>
      </c>
      <c r="O75" s="106">
        <f t="shared" ref="O75:O77" si="450">N75-I75</f>
        <v>-318.39999999999964</v>
      </c>
      <c r="P75" s="8">
        <v>12747</v>
      </c>
      <c r="Q75" s="106">
        <f t="shared" ref="Q75:Q77" si="451">P74</f>
        <v>12706.6</v>
      </c>
      <c r="R75" s="111">
        <f t="shared" ref="R75:R77" si="452">P75-Q75</f>
        <v>40.399999999999636</v>
      </c>
      <c r="S75" s="106">
        <f t="shared" si="217"/>
        <v>1</v>
      </c>
      <c r="T75" s="19">
        <f t="shared" ref="T75:T77" si="453">R75*S75</f>
        <v>40.399999999999636</v>
      </c>
      <c r="U75" s="8">
        <v>3.6</v>
      </c>
      <c r="V75" s="8">
        <v>0.9</v>
      </c>
    </row>
    <row r="76" spans="1:22" ht="15.75" x14ac:dyDescent="0.25">
      <c r="A76" s="105">
        <v>58</v>
      </c>
      <c r="B76" s="22" t="s">
        <v>302</v>
      </c>
      <c r="C76" s="111" t="s">
        <v>32</v>
      </c>
      <c r="D76" s="108" t="s">
        <v>32</v>
      </c>
      <c r="E76" s="8">
        <v>8925.7000000000007</v>
      </c>
      <c r="F76" s="8">
        <f t="shared" si="444"/>
        <v>8603.5</v>
      </c>
      <c r="G76" s="106">
        <f t="shared" si="445"/>
        <v>322.20000000000073</v>
      </c>
      <c r="H76" s="106">
        <f t="shared" si="209"/>
        <v>1</v>
      </c>
      <c r="I76" s="106">
        <f t="shared" si="446"/>
        <v>322.20000000000073</v>
      </c>
      <c r="J76" s="8">
        <v>6417.6</v>
      </c>
      <c r="K76" s="8">
        <f t="shared" si="447"/>
        <v>6411.2</v>
      </c>
      <c r="L76" s="106">
        <f t="shared" si="448"/>
        <v>6.4000000000005457</v>
      </c>
      <c r="M76" s="106">
        <f t="shared" si="213"/>
        <v>1</v>
      </c>
      <c r="N76" s="106">
        <f t="shared" si="449"/>
        <v>6.4000000000005457</v>
      </c>
      <c r="O76" s="106">
        <f t="shared" si="450"/>
        <v>-315.80000000000018</v>
      </c>
      <c r="P76" s="8">
        <v>12785.7</v>
      </c>
      <c r="Q76" s="106">
        <f t="shared" si="451"/>
        <v>12747</v>
      </c>
      <c r="R76" s="111">
        <f t="shared" si="452"/>
        <v>38.700000000000728</v>
      </c>
      <c r="S76" s="106">
        <f t="shared" si="217"/>
        <v>1</v>
      </c>
      <c r="T76" s="19">
        <f t="shared" si="453"/>
        <v>38.700000000000728</v>
      </c>
      <c r="U76" s="8">
        <v>3.7</v>
      </c>
      <c r="V76" s="8">
        <v>0.9</v>
      </c>
    </row>
    <row r="77" spans="1:22" ht="15.75" x14ac:dyDescent="0.25">
      <c r="A77" s="120">
        <v>59</v>
      </c>
      <c r="B77" s="116" t="s">
        <v>303</v>
      </c>
      <c r="C77" s="118" t="s">
        <v>32</v>
      </c>
      <c r="D77" s="117" t="s">
        <v>32</v>
      </c>
      <c r="E77" s="8">
        <v>9226.1</v>
      </c>
      <c r="F77" s="8">
        <f t="shared" si="444"/>
        <v>8925.7000000000007</v>
      </c>
      <c r="G77" s="119">
        <f t="shared" si="445"/>
        <v>300.39999999999964</v>
      </c>
      <c r="H77" s="119">
        <f t="shared" si="209"/>
        <v>1</v>
      </c>
      <c r="I77" s="119">
        <f t="shared" si="446"/>
        <v>300.39999999999964</v>
      </c>
      <c r="J77" s="8">
        <v>6417.6</v>
      </c>
      <c r="K77" s="8">
        <f t="shared" si="447"/>
        <v>6417.6</v>
      </c>
      <c r="L77" s="119">
        <f t="shared" si="448"/>
        <v>0</v>
      </c>
      <c r="M77" s="119">
        <f t="shared" si="213"/>
        <v>1</v>
      </c>
      <c r="N77" s="119">
        <f t="shared" si="449"/>
        <v>0</v>
      </c>
      <c r="O77" s="119">
        <f t="shared" si="450"/>
        <v>-300.39999999999964</v>
      </c>
      <c r="P77" s="8">
        <v>12823.5</v>
      </c>
      <c r="Q77" s="119">
        <f t="shared" si="451"/>
        <v>12785.7</v>
      </c>
      <c r="R77" s="118">
        <f t="shared" si="452"/>
        <v>37.799999999999272</v>
      </c>
      <c r="S77" s="119">
        <f t="shared" si="217"/>
        <v>1</v>
      </c>
      <c r="T77" s="118">
        <f t="shared" si="453"/>
        <v>37.799999999999272</v>
      </c>
      <c r="U77" s="8">
        <v>4</v>
      </c>
      <c r="V77" s="8">
        <v>0.99</v>
      </c>
    </row>
    <row r="78" spans="1:22" ht="15.75" x14ac:dyDescent="0.25">
      <c r="A78" s="121">
        <v>60</v>
      </c>
      <c r="B78" s="116" t="s">
        <v>305</v>
      </c>
      <c r="C78" s="123" t="s">
        <v>32</v>
      </c>
      <c r="D78" s="122" t="s">
        <v>32</v>
      </c>
      <c r="E78" s="8">
        <v>9461.5</v>
      </c>
      <c r="F78" s="8">
        <f t="shared" ref="F78" si="454">E77</f>
        <v>9226.1</v>
      </c>
      <c r="G78" s="124">
        <f t="shared" ref="G78" si="455">E78-F78</f>
        <v>235.39999999999964</v>
      </c>
      <c r="H78" s="124">
        <f t="shared" si="209"/>
        <v>1</v>
      </c>
      <c r="I78" s="124">
        <f t="shared" ref="I78" si="456">G78*H78</f>
        <v>235.39999999999964</v>
      </c>
      <c r="J78" s="8">
        <v>6556.1</v>
      </c>
      <c r="K78" s="8">
        <f t="shared" ref="K78" si="457">J77</f>
        <v>6417.6</v>
      </c>
      <c r="L78" s="124">
        <f t="shared" ref="L78" si="458">J78-K78</f>
        <v>138.5</v>
      </c>
      <c r="M78" s="124">
        <f t="shared" si="213"/>
        <v>1</v>
      </c>
      <c r="N78" s="124">
        <f t="shared" ref="N78" si="459">L78*M78</f>
        <v>138.5</v>
      </c>
      <c r="O78" s="124">
        <f t="shared" ref="O78:O80" si="460">N78-I78</f>
        <v>-96.899999999999636</v>
      </c>
      <c r="P78" s="8">
        <v>12994.5</v>
      </c>
      <c r="Q78" s="124">
        <f t="shared" ref="Q78" si="461">P77</f>
        <v>12823.5</v>
      </c>
      <c r="R78" s="123">
        <f t="shared" ref="R78" si="462">P78-Q78</f>
        <v>171</v>
      </c>
      <c r="S78" s="124">
        <f t="shared" si="217"/>
        <v>1</v>
      </c>
      <c r="T78" s="123">
        <f t="shared" ref="T78" si="463">R78*S78</f>
        <v>171</v>
      </c>
      <c r="U78" s="8">
        <v>3.5</v>
      </c>
      <c r="V78" s="8">
        <v>0.9</v>
      </c>
    </row>
    <row r="79" spans="1:22" ht="15.75" x14ac:dyDescent="0.25">
      <c r="A79" s="121"/>
      <c r="B79" s="116"/>
      <c r="C79" s="161"/>
      <c r="D79" s="159"/>
      <c r="E79" s="8"/>
      <c r="F79" s="8"/>
      <c r="G79" s="162"/>
      <c r="H79" s="162"/>
      <c r="I79" s="162"/>
      <c r="J79" s="8"/>
      <c r="K79" s="8"/>
      <c r="L79" s="162"/>
      <c r="M79" s="162"/>
      <c r="N79" s="162"/>
      <c r="O79" s="162"/>
      <c r="P79" s="8"/>
      <c r="Q79" s="162"/>
      <c r="R79" s="161"/>
      <c r="S79" s="162"/>
      <c r="T79" s="161"/>
      <c r="U79" s="8"/>
      <c r="V79" s="8"/>
    </row>
    <row r="80" spans="1:22" ht="15.75" x14ac:dyDescent="0.25">
      <c r="A80" s="126">
        <v>61</v>
      </c>
      <c r="B80" s="116" t="s">
        <v>306</v>
      </c>
      <c r="C80" s="129" t="s">
        <v>32</v>
      </c>
      <c r="D80" s="128" t="s">
        <v>32</v>
      </c>
      <c r="E80" s="8">
        <v>9649.6</v>
      </c>
      <c r="F80" s="8">
        <f>E78</f>
        <v>9461.5</v>
      </c>
      <c r="G80" s="127">
        <f t="shared" ref="G80" si="464">E80-F80</f>
        <v>188.10000000000036</v>
      </c>
      <c r="H80" s="127">
        <f>H78</f>
        <v>1</v>
      </c>
      <c r="I80" s="127">
        <f t="shared" ref="I80" si="465">G80*H80</f>
        <v>188.10000000000036</v>
      </c>
      <c r="J80" s="8">
        <v>6561.5</v>
      </c>
      <c r="K80" s="8">
        <f>J78</f>
        <v>6556.1</v>
      </c>
      <c r="L80" s="127">
        <f t="shared" ref="L80" si="466">J80-K80</f>
        <v>5.3999999999996362</v>
      </c>
      <c r="M80" s="127">
        <f>M78</f>
        <v>1</v>
      </c>
      <c r="N80" s="127">
        <f t="shared" ref="N80" si="467">L80*M80</f>
        <v>5.3999999999996362</v>
      </c>
      <c r="O80" s="127">
        <f t="shared" si="460"/>
        <v>-182.70000000000073</v>
      </c>
      <c r="P80" s="8">
        <v>13167.2</v>
      </c>
      <c r="Q80" s="127">
        <f>P78</f>
        <v>12994.5</v>
      </c>
      <c r="R80" s="129">
        <f t="shared" ref="R80" si="468">P80-Q80</f>
        <v>172.70000000000073</v>
      </c>
      <c r="S80" s="127">
        <f>S78</f>
        <v>1</v>
      </c>
      <c r="T80" s="129">
        <f t="shared" ref="T80" si="469">R80*S80</f>
        <v>172.70000000000073</v>
      </c>
      <c r="U80" s="8">
        <v>2.1</v>
      </c>
      <c r="V80" s="8">
        <v>0.9</v>
      </c>
    </row>
    <row r="81" spans="1:22" ht="15.75" x14ac:dyDescent="0.25">
      <c r="A81" s="121">
        <v>62</v>
      </c>
      <c r="B81" s="116" t="s">
        <v>307</v>
      </c>
      <c r="C81" s="129" t="s">
        <v>32</v>
      </c>
      <c r="D81" s="128" t="s">
        <v>32</v>
      </c>
      <c r="E81" s="8">
        <v>9883.1</v>
      </c>
      <c r="F81" s="8">
        <f t="shared" ref="F81" si="470">E80</f>
        <v>9649.6</v>
      </c>
      <c r="G81" s="127">
        <f t="shared" ref="G81" si="471">E81-F81</f>
        <v>233.5</v>
      </c>
      <c r="H81" s="127">
        <f t="shared" si="209"/>
        <v>1</v>
      </c>
      <c r="I81" s="127">
        <f t="shared" ref="I81" si="472">G81*H81</f>
        <v>233.5</v>
      </c>
      <c r="J81" s="8">
        <v>6566.2</v>
      </c>
      <c r="K81" s="8">
        <f t="shared" ref="K81" si="473">J80</f>
        <v>6561.5</v>
      </c>
      <c r="L81" s="127">
        <f t="shared" ref="L81" si="474">J81-K81</f>
        <v>4.6999999999998181</v>
      </c>
      <c r="M81" s="127">
        <f t="shared" si="213"/>
        <v>1</v>
      </c>
      <c r="N81" s="127">
        <f t="shared" ref="N81" si="475">L81*M81</f>
        <v>4.6999999999998181</v>
      </c>
      <c r="O81" s="127">
        <f t="shared" ref="O81" si="476">N81-I81</f>
        <v>-228.80000000000018</v>
      </c>
      <c r="P81" s="8">
        <v>13306.6</v>
      </c>
      <c r="Q81" s="127">
        <f t="shared" ref="Q81" si="477">P80</f>
        <v>13167.2</v>
      </c>
      <c r="R81" s="129">
        <f t="shared" ref="R81" si="478">P81-Q81</f>
        <v>139.39999999999964</v>
      </c>
      <c r="S81" s="127">
        <f t="shared" si="217"/>
        <v>1</v>
      </c>
      <c r="T81" s="129">
        <f t="shared" ref="T81" si="479">R81*S81</f>
        <v>139.39999999999964</v>
      </c>
      <c r="U81" s="8">
        <v>2.5</v>
      </c>
      <c r="V81" s="8">
        <v>0.9</v>
      </c>
    </row>
    <row r="82" spans="1:22" ht="15.75" x14ac:dyDescent="0.25">
      <c r="A82" s="135">
        <v>63</v>
      </c>
      <c r="B82" s="116" t="s">
        <v>309</v>
      </c>
      <c r="C82" s="138" t="s">
        <v>32</v>
      </c>
      <c r="D82" s="137" t="s">
        <v>32</v>
      </c>
      <c r="E82" s="8">
        <v>10104.1</v>
      </c>
      <c r="F82" s="8">
        <f t="shared" ref="F82" si="480">E81</f>
        <v>9883.1</v>
      </c>
      <c r="G82" s="136">
        <f t="shared" ref="G82:G85" si="481">E82-F82</f>
        <v>221</v>
      </c>
      <c r="H82" s="136">
        <f t="shared" si="209"/>
        <v>1</v>
      </c>
      <c r="I82" s="136">
        <f t="shared" ref="I82:I85" si="482">G82*H82</f>
        <v>221</v>
      </c>
      <c r="J82" s="8">
        <v>6568.3</v>
      </c>
      <c r="K82" s="8">
        <f t="shared" ref="K82" si="483">J81</f>
        <v>6566.2</v>
      </c>
      <c r="L82" s="136">
        <f t="shared" ref="L82:L85" si="484">J82-K82</f>
        <v>2.1000000000003638</v>
      </c>
      <c r="M82" s="136">
        <f t="shared" si="213"/>
        <v>1</v>
      </c>
      <c r="N82" s="136">
        <f t="shared" ref="N82:N85" si="485">L82*M82</f>
        <v>2.1000000000003638</v>
      </c>
      <c r="O82" s="136">
        <f t="shared" ref="O82:O85" si="486">N82-I82</f>
        <v>-218.89999999999964</v>
      </c>
      <c r="P82" s="8">
        <v>13406.2</v>
      </c>
      <c r="Q82" s="136">
        <f t="shared" ref="Q82" si="487">P81</f>
        <v>13306.6</v>
      </c>
      <c r="R82" s="138">
        <f t="shared" ref="R82:R85" si="488">P82-Q82</f>
        <v>99.600000000000364</v>
      </c>
      <c r="S82" s="136">
        <f t="shared" si="217"/>
        <v>1</v>
      </c>
      <c r="T82" s="138">
        <f t="shared" ref="T82:T85" si="489">R82*S82</f>
        <v>99.600000000000364</v>
      </c>
      <c r="U82" s="8">
        <v>2.4</v>
      </c>
      <c r="V82" s="8">
        <v>0.9</v>
      </c>
    </row>
    <row r="83" spans="1:22" ht="15.75" x14ac:dyDescent="0.25">
      <c r="A83" s="146">
        <v>64</v>
      </c>
      <c r="B83" s="116" t="s">
        <v>310</v>
      </c>
      <c r="C83" s="144" t="s">
        <v>32</v>
      </c>
      <c r="D83" s="143" t="s">
        <v>32</v>
      </c>
      <c r="E83" s="8">
        <v>10320.200000000001</v>
      </c>
      <c r="F83" s="8">
        <f t="shared" ref="F83" si="490">E81</f>
        <v>9883.1</v>
      </c>
      <c r="G83" s="145">
        <f t="shared" si="481"/>
        <v>437.10000000000036</v>
      </c>
      <c r="H83" s="145">
        <f>H81</f>
        <v>1</v>
      </c>
      <c r="I83" s="145">
        <f t="shared" si="482"/>
        <v>437.10000000000036</v>
      </c>
      <c r="J83" s="8">
        <v>6568.7</v>
      </c>
      <c r="K83" s="8">
        <f t="shared" ref="K83" si="491">J81</f>
        <v>6566.2</v>
      </c>
      <c r="L83" s="145">
        <f t="shared" si="484"/>
        <v>2.5</v>
      </c>
      <c r="M83" s="145">
        <f>M81</f>
        <v>1</v>
      </c>
      <c r="N83" s="145">
        <f t="shared" si="485"/>
        <v>2.5</v>
      </c>
      <c r="O83" s="145">
        <f t="shared" si="486"/>
        <v>-434.60000000000036</v>
      </c>
      <c r="P83" s="8">
        <v>13508.8</v>
      </c>
      <c r="Q83" s="145">
        <f t="shared" ref="Q83" si="492">P81</f>
        <v>13306.6</v>
      </c>
      <c r="R83" s="144">
        <f t="shared" si="488"/>
        <v>202.19999999999891</v>
      </c>
      <c r="S83" s="145">
        <f>S81</f>
        <v>1</v>
      </c>
      <c r="T83" s="144">
        <f t="shared" si="489"/>
        <v>202.19999999999891</v>
      </c>
      <c r="U83" s="8">
        <v>2.4</v>
      </c>
      <c r="V83" s="8">
        <v>0.9</v>
      </c>
    </row>
    <row r="84" spans="1:22" ht="15.75" x14ac:dyDescent="0.25">
      <c r="A84" s="151">
        <v>65</v>
      </c>
      <c r="B84" s="116" t="s">
        <v>316</v>
      </c>
      <c r="C84" s="149" t="s">
        <v>32</v>
      </c>
      <c r="D84" s="148" t="s">
        <v>32</v>
      </c>
      <c r="E84" s="8">
        <v>10519.51</v>
      </c>
      <c r="F84" s="8">
        <v>10320.200000000001</v>
      </c>
      <c r="G84" s="150">
        <f t="shared" si="481"/>
        <v>199.30999999999949</v>
      </c>
      <c r="H84" s="150">
        <f>H81</f>
        <v>1</v>
      </c>
      <c r="I84" s="150">
        <f t="shared" si="482"/>
        <v>199.30999999999949</v>
      </c>
      <c r="J84" s="8">
        <v>6612.3</v>
      </c>
      <c r="K84" s="8">
        <v>6568.7</v>
      </c>
      <c r="L84" s="150">
        <f t="shared" si="484"/>
        <v>43.600000000000364</v>
      </c>
      <c r="M84" s="150">
        <f>M81</f>
        <v>1</v>
      </c>
      <c r="N84" s="150">
        <f t="shared" si="485"/>
        <v>43.600000000000364</v>
      </c>
      <c r="O84" s="150">
        <f t="shared" si="486"/>
        <v>-155.70999999999913</v>
      </c>
      <c r="P84" s="8">
        <v>13679</v>
      </c>
      <c r="Q84" s="150">
        <v>13508.8</v>
      </c>
      <c r="R84" s="149">
        <f t="shared" si="488"/>
        <v>170.20000000000073</v>
      </c>
      <c r="S84" s="150">
        <f>S81</f>
        <v>1</v>
      </c>
      <c r="T84" s="149">
        <f t="shared" si="489"/>
        <v>170.20000000000073</v>
      </c>
      <c r="U84" s="8">
        <v>2.4</v>
      </c>
      <c r="V84" s="8">
        <v>0.9</v>
      </c>
    </row>
    <row r="85" spans="1:22" ht="15.75" x14ac:dyDescent="0.25">
      <c r="A85" s="165">
        <v>66</v>
      </c>
      <c r="B85" s="116" t="s">
        <v>319</v>
      </c>
      <c r="C85" s="168" t="s">
        <v>32</v>
      </c>
      <c r="D85" s="167" t="s">
        <v>32</v>
      </c>
      <c r="E85" s="8">
        <v>10905.1</v>
      </c>
      <c r="F85" s="8">
        <v>10710.4</v>
      </c>
      <c r="G85" s="169">
        <f t="shared" si="481"/>
        <v>194.70000000000073</v>
      </c>
      <c r="H85" s="169">
        <f>H81</f>
        <v>1</v>
      </c>
      <c r="I85" s="169">
        <f t="shared" si="482"/>
        <v>194.70000000000073</v>
      </c>
      <c r="J85" s="8">
        <v>6740.1</v>
      </c>
      <c r="K85" s="8">
        <v>6666.8</v>
      </c>
      <c r="L85" s="169">
        <f t="shared" si="484"/>
        <v>73.300000000000182</v>
      </c>
      <c r="M85" s="169">
        <f>M81</f>
        <v>1</v>
      </c>
      <c r="N85" s="169">
        <f t="shared" si="485"/>
        <v>73.300000000000182</v>
      </c>
      <c r="O85" s="169">
        <f t="shared" si="486"/>
        <v>-121.40000000000055</v>
      </c>
      <c r="P85" s="8">
        <v>14044</v>
      </c>
      <c r="Q85" s="8">
        <v>13850.9</v>
      </c>
      <c r="R85" s="168">
        <f t="shared" si="488"/>
        <v>193.10000000000036</v>
      </c>
      <c r="S85" s="169">
        <f>S81</f>
        <v>1</v>
      </c>
      <c r="T85" s="168">
        <f t="shared" si="489"/>
        <v>193.10000000000036</v>
      </c>
      <c r="U85" s="8">
        <v>2.4</v>
      </c>
      <c r="V85" s="8">
        <v>0.9</v>
      </c>
    </row>
    <row r="86" spans="1:22" ht="15.75" x14ac:dyDescent="0.25">
      <c r="A86" s="139">
        <v>65</v>
      </c>
      <c r="B86" s="116" t="s">
        <v>321</v>
      </c>
      <c r="C86" s="142" t="s">
        <v>32</v>
      </c>
      <c r="D86" s="141" t="s">
        <v>32</v>
      </c>
      <c r="E86" s="8">
        <v>10710.4</v>
      </c>
      <c r="F86" s="8">
        <v>10519.51</v>
      </c>
      <c r="G86" s="140">
        <f t="shared" ref="G86:G87" si="493">E86-F86</f>
        <v>190.88999999999942</v>
      </c>
      <c r="H86" s="140">
        <f>H82</f>
        <v>1</v>
      </c>
      <c r="I86" s="140">
        <f t="shared" ref="I86:I87" si="494">G86*H86</f>
        <v>190.88999999999942</v>
      </c>
      <c r="J86" s="8">
        <v>6666.8</v>
      </c>
      <c r="K86" s="8">
        <v>6612.3</v>
      </c>
      <c r="L86" s="140">
        <f t="shared" ref="L86:L87" si="495">J86-K86</f>
        <v>54.5</v>
      </c>
      <c r="M86" s="140">
        <f>M82</f>
        <v>1</v>
      </c>
      <c r="N86" s="140">
        <f t="shared" ref="N86:N87" si="496">L86*M86</f>
        <v>54.5</v>
      </c>
      <c r="O86" s="140">
        <f t="shared" ref="O86:O87" si="497">N86-I86</f>
        <v>-136.38999999999942</v>
      </c>
      <c r="P86" s="8">
        <v>13850.9</v>
      </c>
      <c r="Q86" s="140">
        <v>13679</v>
      </c>
      <c r="R86" s="142">
        <f t="shared" ref="R86:R87" si="498">P86-Q86</f>
        <v>171.89999999999964</v>
      </c>
      <c r="S86" s="140">
        <f>S82</f>
        <v>1</v>
      </c>
      <c r="T86" s="142">
        <f t="shared" ref="T86:T87" si="499">R86*S86</f>
        <v>171.89999999999964</v>
      </c>
      <c r="U86" s="8">
        <v>2.4</v>
      </c>
      <c r="V86" s="8">
        <v>0.9</v>
      </c>
    </row>
    <row r="87" spans="1:22" ht="15.75" x14ac:dyDescent="0.25">
      <c r="A87" s="165">
        <v>66</v>
      </c>
      <c r="B87" s="116" t="s">
        <v>327</v>
      </c>
      <c r="C87" s="178" t="s">
        <v>32</v>
      </c>
      <c r="D87" s="177" t="s">
        <v>32</v>
      </c>
      <c r="E87" s="8">
        <v>11098</v>
      </c>
      <c r="F87" s="8">
        <v>10710.4</v>
      </c>
      <c r="G87" s="176">
        <f t="shared" si="493"/>
        <v>387.60000000000036</v>
      </c>
      <c r="H87" s="176">
        <f>H82</f>
        <v>1</v>
      </c>
      <c r="I87" s="176">
        <f t="shared" si="494"/>
        <v>387.60000000000036</v>
      </c>
      <c r="J87" s="8">
        <v>6740.1</v>
      </c>
      <c r="K87" s="8">
        <v>6666.8</v>
      </c>
      <c r="L87" s="176">
        <f t="shared" si="495"/>
        <v>73.300000000000182</v>
      </c>
      <c r="M87" s="176">
        <f>M82</f>
        <v>1</v>
      </c>
      <c r="N87" s="176">
        <f t="shared" si="496"/>
        <v>73.300000000000182</v>
      </c>
      <c r="O87" s="176">
        <f t="shared" si="497"/>
        <v>-314.30000000000018</v>
      </c>
      <c r="P87" s="8">
        <v>14223.3</v>
      </c>
      <c r="Q87" s="8">
        <v>13850.9</v>
      </c>
      <c r="R87" s="178">
        <f t="shared" si="498"/>
        <v>372.39999999999964</v>
      </c>
      <c r="S87" s="176">
        <f>S82</f>
        <v>1</v>
      </c>
      <c r="T87" s="178">
        <f t="shared" si="499"/>
        <v>372.39999999999964</v>
      </c>
      <c r="U87" s="8">
        <v>2.4</v>
      </c>
      <c r="V87" s="8">
        <v>0.9</v>
      </c>
    </row>
    <row r="88" spans="1:22" ht="15.75" x14ac:dyDescent="0.25">
      <c r="A88" s="165">
        <v>67</v>
      </c>
      <c r="B88" s="116" t="s">
        <v>330</v>
      </c>
      <c r="C88" s="158" t="s">
        <v>32</v>
      </c>
      <c r="D88" s="157" t="s">
        <v>32</v>
      </c>
      <c r="E88" s="8">
        <v>11298</v>
      </c>
      <c r="F88" s="8">
        <v>11098</v>
      </c>
      <c r="G88" s="156">
        <f t="shared" ref="G88:G89" si="500">E88-F88</f>
        <v>200</v>
      </c>
      <c r="H88" s="156">
        <f>H83</f>
        <v>1</v>
      </c>
      <c r="I88" s="156">
        <f t="shared" ref="I88:I89" si="501">G88*H88</f>
        <v>200</v>
      </c>
      <c r="J88" s="8">
        <v>6872.7</v>
      </c>
      <c r="K88" s="8">
        <v>6740.1</v>
      </c>
      <c r="L88" s="156">
        <f t="shared" ref="L88:L89" si="502">J88-K88</f>
        <v>132.59999999999945</v>
      </c>
      <c r="M88" s="156">
        <f>M83</f>
        <v>1</v>
      </c>
      <c r="N88" s="156">
        <f t="shared" ref="N88:N89" si="503">L88*M88</f>
        <v>132.59999999999945</v>
      </c>
      <c r="O88" s="156">
        <f t="shared" ref="O88:O89" si="504">N88-I88</f>
        <v>-67.400000000000546</v>
      </c>
      <c r="P88" s="8">
        <v>14404.1</v>
      </c>
      <c r="Q88" s="8">
        <v>14223.3</v>
      </c>
      <c r="R88" s="158">
        <f t="shared" ref="R88:R89" si="505">P88-Q88</f>
        <v>180.80000000000109</v>
      </c>
      <c r="S88" s="156">
        <f>S83</f>
        <v>1</v>
      </c>
      <c r="T88" s="158">
        <f t="shared" ref="T88:T89" si="506">R88*S88</f>
        <v>180.80000000000109</v>
      </c>
      <c r="U88" s="8">
        <v>2.5</v>
      </c>
      <c r="V88" s="8">
        <v>0.9</v>
      </c>
    </row>
    <row r="89" spans="1:22" ht="15.75" x14ac:dyDescent="0.25">
      <c r="A89" s="165">
        <v>68</v>
      </c>
      <c r="B89" s="116" t="s">
        <v>331</v>
      </c>
      <c r="C89" s="186" t="s">
        <v>32</v>
      </c>
      <c r="D89" s="185" t="s">
        <v>32</v>
      </c>
      <c r="E89" s="8">
        <v>11500</v>
      </c>
      <c r="F89" s="8">
        <v>11298</v>
      </c>
      <c r="G89" s="184">
        <f t="shared" si="500"/>
        <v>202</v>
      </c>
      <c r="H89" s="184">
        <f>H83</f>
        <v>1</v>
      </c>
      <c r="I89" s="184">
        <f t="shared" si="501"/>
        <v>202</v>
      </c>
      <c r="J89" s="8">
        <v>6942.1</v>
      </c>
      <c r="K89" s="8">
        <v>6872.7</v>
      </c>
      <c r="L89" s="184">
        <f t="shared" si="502"/>
        <v>69.400000000000546</v>
      </c>
      <c r="M89" s="184">
        <f>M83</f>
        <v>1</v>
      </c>
      <c r="N89" s="184">
        <f t="shared" si="503"/>
        <v>69.400000000000546</v>
      </c>
      <c r="O89" s="184">
        <f t="shared" si="504"/>
        <v>-132.59999999999945</v>
      </c>
      <c r="P89" s="8">
        <v>14593.1</v>
      </c>
      <c r="Q89" s="8">
        <v>14404.1</v>
      </c>
      <c r="R89" s="186">
        <f t="shared" si="505"/>
        <v>189</v>
      </c>
      <c r="S89" s="184">
        <f>S83</f>
        <v>1</v>
      </c>
      <c r="T89" s="186">
        <f t="shared" si="506"/>
        <v>189</v>
      </c>
      <c r="U89" s="8">
        <v>2.5</v>
      </c>
      <c r="V89" s="8">
        <v>0.9</v>
      </c>
    </row>
    <row r="90" spans="1:22" ht="15.75" x14ac:dyDescent="0.25">
      <c r="A90" s="165">
        <v>69</v>
      </c>
      <c r="B90" s="116" t="s">
        <v>332</v>
      </c>
      <c r="C90" s="180" t="s">
        <v>32</v>
      </c>
      <c r="D90" s="179" t="s">
        <v>32</v>
      </c>
      <c r="E90" s="8">
        <v>11692</v>
      </c>
      <c r="F90" s="8">
        <v>11500</v>
      </c>
      <c r="G90" s="181">
        <f t="shared" ref="G90" si="507">E90-F90</f>
        <v>192</v>
      </c>
      <c r="H90" s="181">
        <f>H84</f>
        <v>1</v>
      </c>
      <c r="I90" s="181">
        <f t="shared" ref="I90" si="508">G90*H90</f>
        <v>192</v>
      </c>
      <c r="J90" s="8">
        <v>6997</v>
      </c>
      <c r="K90" s="8">
        <v>6942.1</v>
      </c>
      <c r="L90" s="181">
        <f t="shared" ref="L90" si="509">J90-K90</f>
        <v>54.899999999999636</v>
      </c>
      <c r="M90" s="181">
        <f>M84</f>
        <v>1</v>
      </c>
      <c r="N90" s="181">
        <f t="shared" ref="N90" si="510">L90*M90</f>
        <v>54.899999999999636</v>
      </c>
      <c r="O90" s="181">
        <f t="shared" ref="O90" si="511">N90-I90</f>
        <v>-137.10000000000036</v>
      </c>
      <c r="P90" s="8">
        <v>14769.1</v>
      </c>
      <c r="Q90" s="8">
        <v>14593.1</v>
      </c>
      <c r="R90" s="180">
        <f t="shared" ref="R90" si="512">P90-Q90</f>
        <v>176</v>
      </c>
      <c r="S90" s="181">
        <f>S84</f>
        <v>1</v>
      </c>
      <c r="T90" s="180">
        <f t="shared" ref="T90" si="513">R90*S90</f>
        <v>176</v>
      </c>
      <c r="U90" s="8">
        <v>2.5</v>
      </c>
      <c r="V90" s="8">
        <v>0.9</v>
      </c>
    </row>
    <row r="91" spans="1:22" ht="15.75" x14ac:dyDescent="0.25">
      <c r="A91" s="8"/>
      <c r="B91" s="8"/>
      <c r="C91" s="8"/>
      <c r="D91" s="8"/>
      <c r="E91" s="8"/>
      <c r="F91" s="8"/>
      <c r="G91" s="8"/>
      <c r="H91" s="88" t="s">
        <v>121</v>
      </c>
      <c r="I91" s="162">
        <f>SUM(I80:I88)</f>
        <v>2252.2000000000007</v>
      </c>
      <c r="J91" s="8"/>
      <c r="K91" s="8"/>
      <c r="L91" s="8"/>
      <c r="M91" s="8"/>
      <c r="N91" s="162">
        <f>SUM(N80:N88)</f>
        <v>392</v>
      </c>
      <c r="O91" s="162">
        <f>SUM(O80:O88)</f>
        <v>-1860.2000000000007</v>
      </c>
      <c r="P91" s="8"/>
      <c r="Q91" s="8"/>
      <c r="R91" s="8"/>
      <c r="S91" s="8"/>
      <c r="T91" s="162">
        <f>SUM(T80:T88)</f>
        <v>1702.3000000000011</v>
      </c>
      <c r="U91" s="8"/>
      <c r="V91" s="8"/>
    </row>
  </sheetData>
  <mergeCells count="22">
    <mergeCell ref="J5:N5"/>
    <mergeCell ref="O5:O6"/>
    <mergeCell ref="U5:U6"/>
    <mergeCell ref="V5:V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honeticPr fontId="23" type="noConversion"/>
  <printOptions horizontalCentered="1"/>
  <pageMargins left="0" right="0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91"/>
  <sheetViews>
    <sheetView topLeftCell="A67" zoomScale="85" zoomScaleNormal="85" workbookViewId="0">
      <selection activeCell="A90" sqref="A90"/>
    </sheetView>
  </sheetViews>
  <sheetFormatPr defaultRowHeight="15" x14ac:dyDescent="0.25"/>
  <cols>
    <col min="1" max="1" width="7.5703125" customWidth="1"/>
    <col min="2" max="2" width="13" customWidth="1"/>
    <col min="3" max="3" width="10.710937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1" width="8.5703125" customWidth="1"/>
    <col min="12" max="12" width="7.7109375" customWidth="1"/>
    <col min="13" max="13" width="10.710937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2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1:22" ht="15.75" x14ac:dyDescent="0.25">
      <c r="A2" s="208" t="s">
        <v>40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2" ht="33.75" customHeight="1" x14ac:dyDescent="0.25">
      <c r="A3" s="12" t="s">
        <v>5</v>
      </c>
      <c r="B3" s="207" t="s">
        <v>41</v>
      </c>
      <c r="C3" s="207"/>
      <c r="D3" s="12" t="s">
        <v>6</v>
      </c>
      <c r="E3" s="201" t="s">
        <v>42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53</v>
      </c>
    </row>
    <row r="4" spans="1:22" ht="15.75" x14ac:dyDescent="0.25">
      <c r="A4" s="12" t="s">
        <v>0</v>
      </c>
      <c r="B4" s="202" t="s">
        <v>61</v>
      </c>
      <c r="C4" s="202"/>
      <c r="D4" s="12" t="s">
        <v>9</v>
      </c>
      <c r="E4" s="207">
        <v>9880391772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4" t="s">
        <v>53</v>
      </c>
    </row>
    <row r="5" spans="1:22" ht="15.75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201" t="s">
        <v>17</v>
      </c>
      <c r="V5" s="201" t="s">
        <v>17</v>
      </c>
    </row>
    <row r="6" spans="1:22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201"/>
      <c r="V6" s="201"/>
    </row>
    <row r="7" spans="1:22" ht="15.75" x14ac:dyDescent="0.25">
      <c r="A7" s="12">
        <v>1</v>
      </c>
      <c r="B7" s="22" t="s">
        <v>55</v>
      </c>
      <c r="C7" s="193" t="s">
        <v>197</v>
      </c>
      <c r="D7" s="193" t="s">
        <v>44</v>
      </c>
      <c r="E7" s="17">
        <v>53.2</v>
      </c>
      <c r="F7" s="17">
        <v>3.7</v>
      </c>
      <c r="G7" s="19">
        <f>E7-F7</f>
        <v>49.5</v>
      </c>
      <c r="H7" s="17">
        <v>1</v>
      </c>
      <c r="I7" s="19">
        <f>G7*H7</f>
        <v>49.5</v>
      </c>
      <c r="J7" s="17">
        <v>1032.9000000000001</v>
      </c>
      <c r="K7" s="17">
        <v>568</v>
      </c>
      <c r="L7" s="19">
        <f t="shared" ref="L7" si="0">J7-K7</f>
        <v>464.90000000000009</v>
      </c>
      <c r="M7" s="17">
        <v>1</v>
      </c>
      <c r="N7" s="19">
        <f>L7*M7</f>
        <v>464.90000000000009</v>
      </c>
      <c r="O7" s="35">
        <f>N7-I7</f>
        <v>415.40000000000009</v>
      </c>
      <c r="P7" s="17">
        <v>2412</v>
      </c>
      <c r="Q7" s="17">
        <v>1920</v>
      </c>
      <c r="R7" s="19">
        <f t="shared" ref="R7:R9" si="1">P7-Q7</f>
        <v>492</v>
      </c>
      <c r="S7" s="17">
        <v>1</v>
      </c>
      <c r="T7" s="19">
        <f t="shared" ref="T7:T9" si="2">R7*S7</f>
        <v>492</v>
      </c>
      <c r="U7" s="17"/>
      <c r="V7" s="17"/>
    </row>
    <row r="8" spans="1:22" ht="15.75" x14ac:dyDescent="0.25">
      <c r="A8" s="12">
        <v>2</v>
      </c>
      <c r="B8" s="22" t="s">
        <v>26</v>
      </c>
      <c r="C8" s="194"/>
      <c r="D8" s="194"/>
      <c r="E8" s="17">
        <v>78.7</v>
      </c>
      <c r="F8" s="17">
        <f>E7</f>
        <v>53.2</v>
      </c>
      <c r="G8" s="19">
        <f>E8-F8</f>
        <v>25.5</v>
      </c>
      <c r="H8" s="17">
        <v>1</v>
      </c>
      <c r="I8" s="19">
        <f>G8*H8</f>
        <v>25.5</v>
      </c>
      <c r="J8" s="17">
        <v>1402.6</v>
      </c>
      <c r="K8" s="17">
        <f t="shared" ref="K8:K15" si="3">J7</f>
        <v>1032.9000000000001</v>
      </c>
      <c r="L8" s="19">
        <f t="shared" ref="L8:L15" si="4">J8-K8</f>
        <v>369.69999999999982</v>
      </c>
      <c r="M8" s="17">
        <v>1</v>
      </c>
      <c r="N8" s="19">
        <f>L8*M8</f>
        <v>369.69999999999982</v>
      </c>
      <c r="O8" s="35">
        <f>N8-I8</f>
        <v>344.19999999999982</v>
      </c>
      <c r="P8" s="17">
        <v>2814</v>
      </c>
      <c r="Q8" s="17">
        <f t="shared" ref="Q8:Q9" si="5">P7</f>
        <v>2412</v>
      </c>
      <c r="R8" s="19">
        <f t="shared" si="1"/>
        <v>402</v>
      </c>
      <c r="S8" s="17">
        <v>1</v>
      </c>
      <c r="T8" s="19">
        <f t="shared" si="2"/>
        <v>402</v>
      </c>
      <c r="U8" s="17"/>
      <c r="V8" s="17"/>
    </row>
    <row r="9" spans="1:22" ht="15.75" x14ac:dyDescent="0.25">
      <c r="A9" s="12">
        <v>3</v>
      </c>
      <c r="B9" s="22" t="s">
        <v>27</v>
      </c>
      <c r="C9" s="194"/>
      <c r="D9" s="194"/>
      <c r="E9" s="17">
        <v>102.5</v>
      </c>
      <c r="F9" s="17">
        <f>E8</f>
        <v>78.7</v>
      </c>
      <c r="G9" s="19">
        <f>E9-F9</f>
        <v>23.799999999999997</v>
      </c>
      <c r="H9" s="17">
        <v>1</v>
      </c>
      <c r="I9" s="19">
        <f>G9*H9</f>
        <v>23.799999999999997</v>
      </c>
      <c r="J9" s="17">
        <v>1841.5</v>
      </c>
      <c r="K9" s="17">
        <f t="shared" si="3"/>
        <v>1402.6</v>
      </c>
      <c r="L9" s="19">
        <f t="shared" si="4"/>
        <v>438.90000000000009</v>
      </c>
      <c r="M9" s="17">
        <v>1</v>
      </c>
      <c r="N9" s="19">
        <f>L9*M9</f>
        <v>438.90000000000009</v>
      </c>
      <c r="O9" s="35">
        <f>N9-I9</f>
        <v>415.10000000000008</v>
      </c>
      <c r="P9" s="17">
        <v>3262</v>
      </c>
      <c r="Q9" s="17">
        <f t="shared" si="5"/>
        <v>2814</v>
      </c>
      <c r="R9" s="19">
        <f t="shared" si="1"/>
        <v>448</v>
      </c>
      <c r="S9" s="17">
        <v>1</v>
      </c>
      <c r="T9" s="19">
        <f t="shared" si="2"/>
        <v>448</v>
      </c>
      <c r="U9" s="17"/>
      <c r="V9" s="17"/>
    </row>
    <row r="10" spans="1:22" ht="15.75" x14ac:dyDescent="0.25">
      <c r="A10" s="12">
        <v>4</v>
      </c>
      <c r="B10" s="22" t="s">
        <v>28</v>
      </c>
      <c r="C10" s="194"/>
      <c r="D10" s="194"/>
      <c r="E10" s="17">
        <v>119.9</v>
      </c>
      <c r="F10" s="17">
        <f t="shared" ref="F10:F15" si="6">E9</f>
        <v>102.5</v>
      </c>
      <c r="G10" s="19">
        <f t="shared" ref="G10:G15" si="7">E10-F10</f>
        <v>17.400000000000006</v>
      </c>
      <c r="H10" s="17">
        <v>1</v>
      </c>
      <c r="I10" s="19">
        <f t="shared" ref="I10:I15" si="8">G10*H10</f>
        <v>17.400000000000006</v>
      </c>
      <c r="J10" s="17">
        <v>2278</v>
      </c>
      <c r="K10" s="17">
        <f t="shared" si="3"/>
        <v>1841.5</v>
      </c>
      <c r="L10" s="19">
        <f t="shared" si="4"/>
        <v>436.5</v>
      </c>
      <c r="M10" s="17">
        <v>1</v>
      </c>
      <c r="N10" s="19">
        <f t="shared" ref="N10:N15" si="9">L10*M10</f>
        <v>436.5</v>
      </c>
      <c r="O10" s="35">
        <f t="shared" ref="O10:O11" si="10">N10-I10</f>
        <v>419.1</v>
      </c>
      <c r="P10" s="17">
        <v>3700</v>
      </c>
      <c r="Q10" s="17">
        <f t="shared" ref="Q10:Q17" si="11">P9</f>
        <v>3262</v>
      </c>
      <c r="R10" s="19">
        <f t="shared" ref="R10:R17" si="12">P10-Q10</f>
        <v>438</v>
      </c>
      <c r="S10" s="17">
        <v>1</v>
      </c>
      <c r="T10" s="19">
        <f t="shared" ref="T10:T17" si="13">R10*S10</f>
        <v>438</v>
      </c>
      <c r="U10" s="17"/>
      <c r="V10" s="17"/>
    </row>
    <row r="11" spans="1:22" ht="15.75" x14ac:dyDescent="0.25">
      <c r="A11" s="12">
        <v>5</v>
      </c>
      <c r="B11" s="22" t="s">
        <v>29</v>
      </c>
      <c r="C11" s="195"/>
      <c r="D11" s="195"/>
      <c r="E11" s="17">
        <v>140.80000000000001</v>
      </c>
      <c r="F11" s="17">
        <f>E10</f>
        <v>119.9</v>
      </c>
      <c r="G11" s="19">
        <f t="shared" si="7"/>
        <v>20.900000000000006</v>
      </c>
      <c r="H11" s="17">
        <v>1</v>
      </c>
      <c r="I11" s="19">
        <f t="shared" si="8"/>
        <v>20.900000000000006</v>
      </c>
      <c r="J11" s="17">
        <v>2719.6</v>
      </c>
      <c r="K11" s="17">
        <f>J10</f>
        <v>2278</v>
      </c>
      <c r="L11" s="19">
        <f t="shared" si="4"/>
        <v>441.59999999999991</v>
      </c>
      <c r="M11" s="17">
        <v>1</v>
      </c>
      <c r="N11" s="19">
        <f t="shared" si="9"/>
        <v>441.59999999999991</v>
      </c>
      <c r="O11" s="35">
        <f t="shared" si="10"/>
        <v>420.69999999999993</v>
      </c>
      <c r="P11" s="17">
        <v>4150</v>
      </c>
      <c r="Q11" s="17">
        <f>P10</f>
        <v>3700</v>
      </c>
      <c r="R11" s="19">
        <f t="shared" si="12"/>
        <v>450</v>
      </c>
      <c r="S11" s="17">
        <v>1</v>
      </c>
      <c r="T11" s="19">
        <f t="shared" si="13"/>
        <v>450</v>
      </c>
      <c r="U11" s="17"/>
      <c r="V11" s="17"/>
    </row>
    <row r="12" spans="1:22" ht="15.75" x14ac:dyDescent="0.25">
      <c r="A12" s="12"/>
      <c r="B12" s="22" t="s">
        <v>121</v>
      </c>
      <c r="C12" s="19"/>
      <c r="D12" s="19"/>
      <c r="E12" s="17"/>
      <c r="F12" s="17"/>
      <c r="G12" s="19"/>
      <c r="H12" s="17"/>
      <c r="I12" s="12">
        <f>SUM(I7:I11)</f>
        <v>137.10000000000002</v>
      </c>
      <c r="J12" s="17"/>
      <c r="K12" s="17"/>
      <c r="L12" s="12"/>
      <c r="M12" s="17"/>
      <c r="N12" s="12">
        <f t="shared" ref="N12:O12" si="14">SUM(N7:N11)</f>
        <v>2151.6</v>
      </c>
      <c r="O12" s="12">
        <f t="shared" si="14"/>
        <v>2014.5</v>
      </c>
      <c r="P12" s="17"/>
      <c r="Q12" s="17"/>
      <c r="R12" s="12"/>
      <c r="S12" s="17"/>
      <c r="T12" s="12">
        <f>SUM(T7:T11)</f>
        <v>2230</v>
      </c>
      <c r="U12" s="17"/>
      <c r="V12" s="17"/>
    </row>
    <row r="13" spans="1:22" ht="15.75" x14ac:dyDescent="0.25">
      <c r="A13" s="12"/>
      <c r="B13" s="22"/>
      <c r="C13" s="19"/>
      <c r="D13" s="19"/>
      <c r="E13" s="17"/>
      <c r="F13" s="17"/>
      <c r="G13" s="19"/>
      <c r="H13" s="17"/>
      <c r="I13" s="19"/>
      <c r="J13" s="17"/>
      <c r="K13" s="17"/>
      <c r="L13" s="19"/>
      <c r="M13" s="17"/>
      <c r="N13" s="19"/>
      <c r="O13" s="35"/>
      <c r="P13" s="17"/>
      <c r="Q13" s="17"/>
      <c r="R13" s="19"/>
      <c r="S13" s="17"/>
      <c r="T13" s="19"/>
      <c r="U13" s="17"/>
      <c r="V13" s="17"/>
    </row>
    <row r="14" spans="1:22" ht="15.75" x14ac:dyDescent="0.25">
      <c r="A14" s="12">
        <v>1</v>
      </c>
      <c r="B14" s="22" t="s">
        <v>30</v>
      </c>
      <c r="C14" s="193" t="s">
        <v>197</v>
      </c>
      <c r="D14" s="193" t="s">
        <v>44</v>
      </c>
      <c r="E14" s="17">
        <v>160.19999999999999</v>
      </c>
      <c r="F14" s="17">
        <f>E11</f>
        <v>140.80000000000001</v>
      </c>
      <c r="G14" s="19">
        <f t="shared" si="7"/>
        <v>19.399999999999977</v>
      </c>
      <c r="H14" s="17">
        <v>1</v>
      </c>
      <c r="I14" s="19">
        <f t="shared" si="8"/>
        <v>19.399999999999977</v>
      </c>
      <c r="J14" s="17">
        <v>3129.9</v>
      </c>
      <c r="K14" s="17">
        <f>J11</f>
        <v>2719.6</v>
      </c>
      <c r="L14" s="19">
        <f t="shared" si="4"/>
        <v>410.30000000000018</v>
      </c>
      <c r="M14" s="17">
        <v>1</v>
      </c>
      <c r="N14" s="19">
        <f t="shared" si="9"/>
        <v>410.30000000000018</v>
      </c>
      <c r="O14" s="17">
        <f>N14-I14</f>
        <v>390.9000000000002</v>
      </c>
      <c r="P14" s="17">
        <v>4623</v>
      </c>
      <c r="Q14" s="17">
        <f>P11</f>
        <v>4150</v>
      </c>
      <c r="R14" s="19">
        <f t="shared" si="12"/>
        <v>473</v>
      </c>
      <c r="S14" s="17">
        <v>1</v>
      </c>
      <c r="T14" s="19">
        <f t="shared" si="13"/>
        <v>473</v>
      </c>
      <c r="U14" s="17"/>
      <c r="V14" s="17"/>
    </row>
    <row r="15" spans="1:22" ht="15.75" x14ac:dyDescent="0.25">
      <c r="A15" s="12">
        <v>2</v>
      </c>
      <c r="B15" s="22" t="s">
        <v>31</v>
      </c>
      <c r="C15" s="194"/>
      <c r="D15" s="194"/>
      <c r="E15" s="12">
        <v>189.1</v>
      </c>
      <c r="F15" s="17">
        <f t="shared" si="6"/>
        <v>160.19999999999999</v>
      </c>
      <c r="G15" s="19">
        <f t="shared" si="7"/>
        <v>28.900000000000006</v>
      </c>
      <c r="H15" s="17">
        <v>1</v>
      </c>
      <c r="I15" s="19">
        <f t="shared" si="8"/>
        <v>28.900000000000006</v>
      </c>
      <c r="J15" s="12">
        <v>3657.7</v>
      </c>
      <c r="K15" s="17">
        <f t="shared" si="3"/>
        <v>3129.9</v>
      </c>
      <c r="L15" s="19">
        <f t="shared" si="4"/>
        <v>527.79999999999973</v>
      </c>
      <c r="M15" s="17">
        <v>1</v>
      </c>
      <c r="N15" s="19">
        <f t="shared" si="9"/>
        <v>527.79999999999973</v>
      </c>
      <c r="O15" s="17">
        <f t="shared" ref="O15:O17" si="15">N15-I15</f>
        <v>498.89999999999975</v>
      </c>
      <c r="P15" s="12">
        <v>5210</v>
      </c>
      <c r="Q15" s="17">
        <f t="shared" si="11"/>
        <v>4623</v>
      </c>
      <c r="R15" s="19">
        <f t="shared" si="12"/>
        <v>587</v>
      </c>
      <c r="S15" s="17">
        <v>1</v>
      </c>
      <c r="T15" s="19">
        <f t="shared" si="13"/>
        <v>587</v>
      </c>
      <c r="U15" s="19"/>
      <c r="V15" s="19"/>
    </row>
    <row r="16" spans="1:22" ht="15.75" x14ac:dyDescent="0.25">
      <c r="A16" s="12">
        <v>3</v>
      </c>
      <c r="B16" s="22" t="s">
        <v>56</v>
      </c>
      <c r="C16" s="194"/>
      <c r="D16" s="194"/>
      <c r="E16" s="12">
        <v>231.5</v>
      </c>
      <c r="F16" s="17">
        <f t="shared" ref="F16" si="16">E15</f>
        <v>189.1</v>
      </c>
      <c r="G16" s="19">
        <f t="shared" ref="G16" si="17">E16-F16</f>
        <v>42.400000000000006</v>
      </c>
      <c r="H16" s="17">
        <v>1</v>
      </c>
      <c r="I16" s="19">
        <f t="shared" ref="I16" si="18">G16*H16</f>
        <v>42.400000000000006</v>
      </c>
      <c r="J16" s="12">
        <v>3996.9</v>
      </c>
      <c r="K16" s="17">
        <f t="shared" ref="K16" si="19">J15</f>
        <v>3657.7</v>
      </c>
      <c r="L16" s="19">
        <f t="shared" ref="L16" si="20">J16-K16</f>
        <v>339.20000000000027</v>
      </c>
      <c r="M16" s="17">
        <v>1</v>
      </c>
      <c r="N16" s="19">
        <f t="shared" ref="N16" si="21">L16*M16</f>
        <v>339.20000000000027</v>
      </c>
      <c r="O16" s="17">
        <f t="shared" si="15"/>
        <v>296.8000000000003</v>
      </c>
      <c r="P16" s="12">
        <v>5558</v>
      </c>
      <c r="Q16" s="17">
        <f t="shared" si="11"/>
        <v>5210</v>
      </c>
      <c r="R16" s="19">
        <f t="shared" si="12"/>
        <v>348</v>
      </c>
      <c r="S16" s="17">
        <v>1</v>
      </c>
      <c r="T16" s="19">
        <f t="shared" si="13"/>
        <v>348</v>
      </c>
      <c r="U16" s="19"/>
      <c r="V16" s="19"/>
    </row>
    <row r="17" spans="1:22" ht="15.75" x14ac:dyDescent="0.25">
      <c r="A17" s="12">
        <v>4</v>
      </c>
      <c r="B17" s="22" t="s">
        <v>64</v>
      </c>
      <c r="C17" s="194"/>
      <c r="D17" s="194"/>
      <c r="E17" s="12">
        <v>268.2</v>
      </c>
      <c r="F17" s="17">
        <f t="shared" ref="F17" si="22">E16</f>
        <v>231.5</v>
      </c>
      <c r="G17" s="19">
        <f t="shared" ref="G17" si="23">E17-F17</f>
        <v>36.699999999999989</v>
      </c>
      <c r="H17" s="17">
        <v>1</v>
      </c>
      <c r="I17" s="19">
        <f t="shared" ref="I17" si="24">G17*H17</f>
        <v>36.699999999999989</v>
      </c>
      <c r="J17" s="12">
        <v>4225.2</v>
      </c>
      <c r="K17" s="17">
        <f t="shared" ref="K17" si="25">J16</f>
        <v>3996.9</v>
      </c>
      <c r="L17" s="19">
        <f t="shared" ref="L17" si="26">J17-K17</f>
        <v>228.29999999999973</v>
      </c>
      <c r="M17" s="17">
        <v>1</v>
      </c>
      <c r="N17" s="19">
        <f t="shared" ref="N17" si="27">L17*M17</f>
        <v>228.29999999999973</v>
      </c>
      <c r="O17" s="17">
        <f t="shared" si="15"/>
        <v>191.59999999999974</v>
      </c>
      <c r="P17" s="12">
        <v>5816</v>
      </c>
      <c r="Q17" s="17">
        <f t="shared" si="11"/>
        <v>5558</v>
      </c>
      <c r="R17" s="19">
        <f t="shared" si="12"/>
        <v>258</v>
      </c>
      <c r="S17" s="17">
        <v>1</v>
      </c>
      <c r="T17" s="19">
        <f t="shared" si="13"/>
        <v>258</v>
      </c>
      <c r="U17" s="19"/>
      <c r="V17" s="19"/>
    </row>
    <row r="18" spans="1:22" ht="15.75" x14ac:dyDescent="0.25">
      <c r="A18" s="12">
        <v>5</v>
      </c>
      <c r="B18" s="22" t="s">
        <v>103</v>
      </c>
      <c r="C18" s="194"/>
      <c r="D18" s="194"/>
      <c r="E18" s="12">
        <v>315.60000000000002</v>
      </c>
      <c r="F18" s="17">
        <f t="shared" ref="F18" si="28">E17</f>
        <v>268.2</v>
      </c>
      <c r="G18" s="19">
        <f t="shared" ref="G18" si="29">E18-F18</f>
        <v>47.400000000000034</v>
      </c>
      <c r="H18" s="17">
        <v>1</v>
      </c>
      <c r="I18" s="19">
        <f t="shared" ref="I18" si="30">G18*H18</f>
        <v>47.400000000000034</v>
      </c>
      <c r="J18" s="12">
        <v>4563.7</v>
      </c>
      <c r="K18" s="17">
        <f t="shared" ref="K18" si="31">J17</f>
        <v>4225.2</v>
      </c>
      <c r="L18" s="19">
        <f t="shared" ref="L18" si="32">J18-K18</f>
        <v>338.5</v>
      </c>
      <c r="M18" s="17">
        <v>1</v>
      </c>
      <c r="N18" s="19">
        <f t="shared" ref="N18" si="33">L18*M18</f>
        <v>338.5</v>
      </c>
      <c r="O18" s="17">
        <f t="shared" ref="O18" si="34">N18-I18</f>
        <v>291.09999999999997</v>
      </c>
      <c r="P18" s="12">
        <v>6216.2</v>
      </c>
      <c r="Q18" s="17">
        <f t="shared" ref="Q18" si="35">P17</f>
        <v>5816</v>
      </c>
      <c r="R18" s="19">
        <f t="shared" ref="R18" si="36">P18-Q18</f>
        <v>400.19999999999982</v>
      </c>
      <c r="S18" s="17">
        <v>1</v>
      </c>
      <c r="T18" s="19">
        <f t="shared" ref="T18" si="37">R18*S18</f>
        <v>400.19999999999982</v>
      </c>
      <c r="U18" s="19"/>
      <c r="V18" s="19"/>
    </row>
    <row r="19" spans="1:22" ht="15.75" x14ac:dyDescent="0.25">
      <c r="A19" s="12">
        <v>6</v>
      </c>
      <c r="B19" s="22" t="s">
        <v>104</v>
      </c>
      <c r="C19" s="194"/>
      <c r="D19" s="194"/>
      <c r="E19" s="12">
        <v>360.6</v>
      </c>
      <c r="F19" s="17">
        <f t="shared" ref="F19" si="38">E18</f>
        <v>315.60000000000002</v>
      </c>
      <c r="G19" s="19">
        <f t="shared" ref="G19" si="39">E19-F19</f>
        <v>45</v>
      </c>
      <c r="H19" s="17">
        <v>1</v>
      </c>
      <c r="I19" s="19">
        <f t="shared" ref="I19" si="40">G19*H19</f>
        <v>45</v>
      </c>
      <c r="J19" s="12">
        <v>5090.7</v>
      </c>
      <c r="K19" s="17">
        <f t="shared" ref="K19" si="41">J18</f>
        <v>4563.7</v>
      </c>
      <c r="L19" s="19">
        <f t="shared" ref="L19" si="42">J19-K19</f>
        <v>527</v>
      </c>
      <c r="M19" s="17">
        <v>1</v>
      </c>
      <c r="N19" s="19">
        <f t="shared" ref="N19" si="43">L19*M19</f>
        <v>527</v>
      </c>
      <c r="O19" s="17">
        <f t="shared" ref="O19" si="44">N19-I19</f>
        <v>482</v>
      </c>
      <c r="P19" s="12">
        <v>6809</v>
      </c>
      <c r="Q19" s="17">
        <f t="shared" ref="Q19" si="45">P18</f>
        <v>6216.2</v>
      </c>
      <c r="R19" s="19">
        <f t="shared" ref="R19" si="46">P19-Q19</f>
        <v>592.80000000000018</v>
      </c>
      <c r="S19" s="17">
        <v>1</v>
      </c>
      <c r="T19" s="19">
        <f t="shared" ref="T19" si="47">R19*S19</f>
        <v>592.80000000000018</v>
      </c>
      <c r="U19" s="19"/>
      <c r="V19" s="19"/>
    </row>
    <row r="20" spans="1:22" ht="15.75" x14ac:dyDescent="0.25">
      <c r="A20" s="12">
        <v>7</v>
      </c>
      <c r="B20" s="22" t="s">
        <v>106</v>
      </c>
      <c r="C20" s="194"/>
      <c r="D20" s="194"/>
      <c r="E20" s="12">
        <v>428.7</v>
      </c>
      <c r="F20" s="17">
        <f t="shared" ref="F20:F21" si="48">E19</f>
        <v>360.6</v>
      </c>
      <c r="G20" s="19">
        <f t="shared" ref="G20:G21" si="49">E20-F20</f>
        <v>68.099999999999966</v>
      </c>
      <c r="H20" s="17">
        <v>1</v>
      </c>
      <c r="I20" s="19">
        <f t="shared" ref="I20:I21" si="50">G20*H20</f>
        <v>68.099999999999966</v>
      </c>
      <c r="J20" s="12">
        <v>5618.4</v>
      </c>
      <c r="K20" s="17">
        <f t="shared" ref="K20:K21" si="51">J19</f>
        <v>5090.7</v>
      </c>
      <c r="L20" s="19">
        <f t="shared" ref="L20:L21" si="52">J20-K20</f>
        <v>527.69999999999982</v>
      </c>
      <c r="M20" s="17">
        <v>1</v>
      </c>
      <c r="N20" s="19">
        <f t="shared" ref="N20:N21" si="53">L20*M20</f>
        <v>527.69999999999982</v>
      </c>
      <c r="O20" s="17">
        <f t="shared" ref="O20:O21" si="54">N20-I20</f>
        <v>459.59999999999985</v>
      </c>
      <c r="P20" s="12">
        <v>7381</v>
      </c>
      <c r="Q20" s="17">
        <f t="shared" ref="Q20:Q21" si="55">P19</f>
        <v>6809</v>
      </c>
      <c r="R20" s="19">
        <f t="shared" ref="R20:R21" si="56">P20-Q20</f>
        <v>572</v>
      </c>
      <c r="S20" s="17">
        <v>1</v>
      </c>
      <c r="T20" s="19">
        <f t="shared" ref="T20:T21" si="57">R20*S20</f>
        <v>572</v>
      </c>
      <c r="U20" s="19"/>
      <c r="V20" s="19"/>
    </row>
    <row r="21" spans="1:22" ht="15.75" x14ac:dyDescent="0.25">
      <c r="A21" s="12">
        <v>8</v>
      </c>
      <c r="B21" s="22" t="s">
        <v>107</v>
      </c>
      <c r="C21" s="194"/>
      <c r="D21" s="194"/>
      <c r="E21" s="12">
        <v>558.9</v>
      </c>
      <c r="F21" s="17">
        <f t="shared" si="48"/>
        <v>428.7</v>
      </c>
      <c r="G21" s="19">
        <f t="shared" si="49"/>
        <v>130.19999999999999</v>
      </c>
      <c r="H21" s="17">
        <v>1</v>
      </c>
      <c r="I21" s="19">
        <f t="shared" si="50"/>
        <v>130.19999999999999</v>
      </c>
      <c r="J21" s="12">
        <v>6063.6</v>
      </c>
      <c r="K21" s="17">
        <f t="shared" si="51"/>
        <v>5618.4</v>
      </c>
      <c r="L21" s="19">
        <f t="shared" si="52"/>
        <v>445.20000000000073</v>
      </c>
      <c r="M21" s="17">
        <v>1</v>
      </c>
      <c r="N21" s="19">
        <f t="shared" si="53"/>
        <v>445.20000000000073</v>
      </c>
      <c r="O21" s="17">
        <f t="shared" si="54"/>
        <v>315.00000000000074</v>
      </c>
      <c r="P21" s="12">
        <v>7831.4</v>
      </c>
      <c r="Q21" s="17">
        <f t="shared" si="55"/>
        <v>7381</v>
      </c>
      <c r="R21" s="19">
        <f t="shared" si="56"/>
        <v>450.39999999999964</v>
      </c>
      <c r="S21" s="17">
        <v>1</v>
      </c>
      <c r="T21" s="19">
        <f t="shared" si="57"/>
        <v>450.39999999999964</v>
      </c>
      <c r="U21" s="19"/>
      <c r="V21" s="19"/>
    </row>
    <row r="22" spans="1:22" ht="15.75" x14ac:dyDescent="0.25">
      <c r="A22" s="12">
        <v>9</v>
      </c>
      <c r="B22" s="22" t="s">
        <v>108</v>
      </c>
      <c r="C22" s="194"/>
      <c r="D22" s="194"/>
      <c r="E22" s="12">
        <v>647.6</v>
      </c>
      <c r="F22" s="17">
        <f t="shared" ref="F22" si="58">E21</f>
        <v>558.9</v>
      </c>
      <c r="G22" s="19">
        <f t="shared" ref="G22" si="59">E22-F22</f>
        <v>88.700000000000045</v>
      </c>
      <c r="H22" s="17">
        <v>1</v>
      </c>
      <c r="I22" s="19">
        <f t="shared" ref="I22" si="60">G22*H22</f>
        <v>88.700000000000045</v>
      </c>
      <c r="J22" s="12">
        <v>6420.3</v>
      </c>
      <c r="K22" s="17">
        <f t="shared" ref="K22" si="61">J21</f>
        <v>6063.6</v>
      </c>
      <c r="L22" s="19">
        <f t="shared" ref="L22" si="62">J22-K22</f>
        <v>356.69999999999982</v>
      </c>
      <c r="M22" s="17">
        <v>1</v>
      </c>
      <c r="N22" s="19">
        <f t="shared" ref="N22" si="63">L22*M22</f>
        <v>356.69999999999982</v>
      </c>
      <c r="O22" s="17">
        <f t="shared" ref="O22" si="64">N22-I22</f>
        <v>267.99999999999977</v>
      </c>
      <c r="P22" s="12">
        <v>8196</v>
      </c>
      <c r="Q22" s="17">
        <f t="shared" ref="Q22" si="65">P21</f>
        <v>7831.4</v>
      </c>
      <c r="R22" s="19">
        <f t="shared" ref="R22" si="66">P22-Q22</f>
        <v>364.60000000000036</v>
      </c>
      <c r="S22" s="17">
        <v>1</v>
      </c>
      <c r="T22" s="19">
        <f t="shared" ref="T22" si="67">R22*S22</f>
        <v>364.60000000000036</v>
      </c>
      <c r="U22" s="19"/>
      <c r="V22" s="19"/>
    </row>
    <row r="23" spans="1:22" ht="15.75" x14ac:dyDescent="0.25">
      <c r="A23" s="12">
        <v>10</v>
      </c>
      <c r="B23" s="22" t="s">
        <v>109</v>
      </c>
      <c r="C23" s="194"/>
      <c r="D23" s="194"/>
      <c r="E23" s="12">
        <v>705.6</v>
      </c>
      <c r="F23" s="17">
        <f t="shared" ref="F23" si="68">E22</f>
        <v>647.6</v>
      </c>
      <c r="G23" s="19">
        <f t="shared" ref="G23" si="69">E23-F23</f>
        <v>58</v>
      </c>
      <c r="H23" s="17">
        <v>1</v>
      </c>
      <c r="I23" s="19">
        <f t="shared" ref="I23" si="70">G23*H23</f>
        <v>58</v>
      </c>
      <c r="J23" s="12">
        <v>6933.3</v>
      </c>
      <c r="K23" s="17">
        <f t="shared" ref="K23" si="71">J22</f>
        <v>6420.3</v>
      </c>
      <c r="L23" s="19">
        <f t="shared" ref="L23" si="72">J23-K23</f>
        <v>513</v>
      </c>
      <c r="M23" s="17">
        <v>1</v>
      </c>
      <c r="N23" s="19">
        <f t="shared" ref="N23" si="73">L23*M23</f>
        <v>513</v>
      </c>
      <c r="O23" s="17">
        <f t="shared" ref="O23" si="74">N23-I23</f>
        <v>455</v>
      </c>
      <c r="P23" s="12">
        <v>8767</v>
      </c>
      <c r="Q23" s="17">
        <f t="shared" ref="Q23" si="75">P22</f>
        <v>8196</v>
      </c>
      <c r="R23" s="19">
        <f t="shared" ref="R23" si="76">P23-Q23</f>
        <v>571</v>
      </c>
      <c r="S23" s="17">
        <v>1</v>
      </c>
      <c r="T23" s="19">
        <f t="shared" ref="T23" si="77">R23*S23</f>
        <v>571</v>
      </c>
      <c r="U23" s="19"/>
      <c r="V23" s="19"/>
    </row>
    <row r="24" spans="1:22" ht="15.75" x14ac:dyDescent="0.25">
      <c r="A24" s="12">
        <v>11</v>
      </c>
      <c r="B24" s="22" t="s">
        <v>111</v>
      </c>
      <c r="C24" s="194"/>
      <c r="D24" s="194"/>
      <c r="E24" s="12">
        <v>784.1</v>
      </c>
      <c r="F24" s="17">
        <f t="shared" ref="F24" si="78">E23</f>
        <v>705.6</v>
      </c>
      <c r="G24" s="19">
        <f t="shared" ref="G24" si="79">E24-F24</f>
        <v>78.5</v>
      </c>
      <c r="H24" s="17">
        <v>1</v>
      </c>
      <c r="I24" s="19">
        <f t="shared" ref="I24" si="80">G24*H24</f>
        <v>78.5</v>
      </c>
      <c r="J24" s="12">
        <v>7395.1</v>
      </c>
      <c r="K24" s="17">
        <f t="shared" ref="K24" si="81">J23</f>
        <v>6933.3</v>
      </c>
      <c r="L24" s="19">
        <f t="shared" ref="L24" si="82">J24-K24</f>
        <v>461.80000000000018</v>
      </c>
      <c r="M24" s="17">
        <v>1</v>
      </c>
      <c r="N24" s="19">
        <f t="shared" ref="N24" si="83">L24*M24</f>
        <v>461.80000000000018</v>
      </c>
      <c r="O24" s="17">
        <f t="shared" ref="O24" si="84">N24-I24</f>
        <v>383.30000000000018</v>
      </c>
      <c r="P24" s="12">
        <v>9245</v>
      </c>
      <c r="Q24" s="17">
        <f t="shared" ref="Q24" si="85">P23</f>
        <v>8767</v>
      </c>
      <c r="R24" s="19">
        <f t="shared" ref="R24" si="86">P24-Q24</f>
        <v>478</v>
      </c>
      <c r="S24" s="17">
        <v>1</v>
      </c>
      <c r="T24" s="19">
        <f t="shared" ref="T24" si="87">R24*S24</f>
        <v>478</v>
      </c>
      <c r="U24" s="19"/>
      <c r="V24" s="19"/>
    </row>
    <row r="25" spans="1:22" ht="15.75" x14ac:dyDescent="0.25">
      <c r="A25" s="12">
        <v>12</v>
      </c>
      <c r="B25" s="22" t="s">
        <v>117</v>
      </c>
      <c r="C25" s="195"/>
      <c r="D25" s="195"/>
      <c r="E25" s="12">
        <v>846.1</v>
      </c>
      <c r="F25" s="17">
        <f t="shared" ref="F25" si="88">E24</f>
        <v>784.1</v>
      </c>
      <c r="G25" s="19">
        <f t="shared" ref="G25" si="89">E25-F25</f>
        <v>62</v>
      </c>
      <c r="H25" s="17">
        <v>1</v>
      </c>
      <c r="I25" s="19">
        <f t="shared" ref="I25" si="90">G25*H25</f>
        <v>62</v>
      </c>
      <c r="J25" s="12">
        <v>7835.1</v>
      </c>
      <c r="K25" s="17">
        <f t="shared" ref="K25" si="91">J24</f>
        <v>7395.1</v>
      </c>
      <c r="L25" s="19">
        <f t="shared" ref="L25" si="92">J25-K25</f>
        <v>440</v>
      </c>
      <c r="M25" s="17">
        <v>1</v>
      </c>
      <c r="N25" s="19">
        <f t="shared" ref="N25" si="93">L25*M25</f>
        <v>440</v>
      </c>
      <c r="O25" s="17">
        <f t="shared" ref="O25" si="94">N25-I25</f>
        <v>378</v>
      </c>
      <c r="P25" s="12">
        <v>9739</v>
      </c>
      <c r="Q25" s="17">
        <f t="shared" ref="Q25" si="95">P24</f>
        <v>9245</v>
      </c>
      <c r="R25" s="19">
        <f t="shared" ref="R25" si="96">P25-Q25</f>
        <v>494</v>
      </c>
      <c r="S25" s="17">
        <v>1</v>
      </c>
      <c r="T25" s="19">
        <f t="shared" ref="T25" si="97">R25*S25</f>
        <v>494</v>
      </c>
      <c r="U25" s="19"/>
      <c r="V25" s="19"/>
    </row>
    <row r="26" spans="1:22" ht="15.75" x14ac:dyDescent="0.25">
      <c r="A26" s="12"/>
      <c r="B26" s="22" t="s">
        <v>121</v>
      </c>
      <c r="C26" s="19"/>
      <c r="D26" s="19"/>
      <c r="E26" s="12"/>
      <c r="F26" s="17"/>
      <c r="G26" s="19"/>
      <c r="H26" s="17"/>
      <c r="I26" s="12">
        <f>SUM(I14:I25)</f>
        <v>705.3</v>
      </c>
      <c r="J26" s="12"/>
      <c r="K26" s="17"/>
      <c r="L26" s="12"/>
      <c r="M26" s="17"/>
      <c r="N26" s="12">
        <f t="shared" ref="N26:O26" si="98">SUM(N14:N25)</f>
        <v>5115.5000000000009</v>
      </c>
      <c r="O26" s="12">
        <f t="shared" si="98"/>
        <v>4410.2000000000007</v>
      </c>
      <c r="P26" s="12"/>
      <c r="Q26" s="17"/>
      <c r="R26" s="12"/>
      <c r="S26" s="17"/>
      <c r="T26" s="12">
        <f>SUM(T14:T25)</f>
        <v>5589</v>
      </c>
      <c r="U26" s="24"/>
      <c r="V26" s="24"/>
    </row>
    <row r="27" spans="1:22" ht="15.75" x14ac:dyDescent="0.25">
      <c r="A27" s="12"/>
      <c r="B27" s="22"/>
      <c r="C27" s="19"/>
      <c r="D27" s="19"/>
      <c r="E27" s="12"/>
      <c r="F27" s="17"/>
      <c r="G27" s="19"/>
      <c r="H27" s="17"/>
      <c r="I27" s="19"/>
      <c r="J27" s="12"/>
      <c r="K27" s="17"/>
      <c r="L27" s="19"/>
      <c r="M27" s="17"/>
      <c r="N27" s="19"/>
      <c r="O27" s="17"/>
      <c r="P27" s="12"/>
      <c r="Q27" s="17"/>
      <c r="R27" s="19"/>
      <c r="S27" s="17"/>
      <c r="T27" s="19"/>
      <c r="U27" s="24"/>
      <c r="V27" s="24"/>
    </row>
    <row r="28" spans="1:22" ht="15.75" x14ac:dyDescent="0.25">
      <c r="A28" s="12">
        <v>13</v>
      </c>
      <c r="B28" s="22" t="s">
        <v>118</v>
      </c>
      <c r="C28" s="196" t="s">
        <v>197</v>
      </c>
      <c r="D28" s="196" t="s">
        <v>32</v>
      </c>
      <c r="E28" s="12">
        <f>E25+33</f>
        <v>879.1</v>
      </c>
      <c r="F28" s="17">
        <f t="shared" ref="F28" si="99">E25</f>
        <v>846.1</v>
      </c>
      <c r="G28" s="19">
        <f t="shared" ref="G28" si="100">E28-F28</f>
        <v>33</v>
      </c>
      <c r="H28" s="17">
        <v>1</v>
      </c>
      <c r="I28" s="19">
        <f t="shared" ref="I28" si="101">G28*H28</f>
        <v>33</v>
      </c>
      <c r="J28" s="12">
        <f>J25+423</f>
        <v>8258.1</v>
      </c>
      <c r="K28" s="17">
        <f t="shared" ref="K28" si="102">J25</f>
        <v>7835.1</v>
      </c>
      <c r="L28" s="19">
        <f t="shared" ref="L28" si="103">J28-K28</f>
        <v>423</v>
      </c>
      <c r="M28" s="17">
        <v>1</v>
      </c>
      <c r="N28" s="19">
        <f t="shared" ref="N28" si="104">L28*M28</f>
        <v>423</v>
      </c>
      <c r="O28" s="17">
        <f t="shared" ref="O28" si="105">N28-I28</f>
        <v>390</v>
      </c>
      <c r="P28" s="12">
        <v>10210</v>
      </c>
      <c r="Q28" s="17">
        <f t="shared" ref="Q28" si="106">P25</f>
        <v>9739</v>
      </c>
      <c r="R28" s="19">
        <f t="shared" ref="R28" si="107">P28-Q28</f>
        <v>471</v>
      </c>
      <c r="S28" s="17">
        <v>1</v>
      </c>
      <c r="T28" s="19">
        <f t="shared" ref="T28" si="108">R28*S28</f>
        <v>471</v>
      </c>
      <c r="U28" s="19" t="s">
        <v>241</v>
      </c>
      <c r="V28" s="19" t="s">
        <v>242</v>
      </c>
    </row>
    <row r="29" spans="1:22" ht="15.75" x14ac:dyDescent="0.25">
      <c r="A29" s="12">
        <v>14</v>
      </c>
      <c r="B29" s="22" t="s">
        <v>119</v>
      </c>
      <c r="C29" s="196"/>
      <c r="D29" s="196"/>
      <c r="E29" s="12">
        <v>921.2</v>
      </c>
      <c r="F29" s="17">
        <f t="shared" ref="F29" si="109">E28</f>
        <v>879.1</v>
      </c>
      <c r="G29" s="19">
        <f t="shared" ref="G29" si="110">E29-F29</f>
        <v>42.100000000000023</v>
      </c>
      <c r="H29" s="17">
        <v>1</v>
      </c>
      <c r="I29" s="19">
        <f t="shared" ref="I29" si="111">G29*H29</f>
        <v>42.100000000000023</v>
      </c>
      <c r="J29" s="12">
        <v>8831.7999999999993</v>
      </c>
      <c r="K29" s="17">
        <f t="shared" ref="K29" si="112">J28</f>
        <v>8258.1</v>
      </c>
      <c r="L29" s="19">
        <f t="shared" ref="L29" si="113">J29-K29</f>
        <v>573.69999999999891</v>
      </c>
      <c r="M29" s="17">
        <v>1</v>
      </c>
      <c r="N29" s="19">
        <f t="shared" ref="N29" si="114">L29*M29</f>
        <v>573.69999999999891</v>
      </c>
      <c r="O29" s="17">
        <f t="shared" ref="O29" si="115">N29-I29</f>
        <v>531.59999999999889</v>
      </c>
      <c r="P29" s="12">
        <v>10691</v>
      </c>
      <c r="Q29" s="17">
        <f t="shared" ref="Q29" si="116">P28</f>
        <v>10210</v>
      </c>
      <c r="R29" s="19">
        <f t="shared" ref="R29" si="117">P29-Q29</f>
        <v>481</v>
      </c>
      <c r="S29" s="17">
        <v>1</v>
      </c>
      <c r="T29" s="19">
        <f t="shared" ref="T29" si="118">R29*S29</f>
        <v>481</v>
      </c>
      <c r="U29" s="19"/>
      <c r="V29" s="19"/>
    </row>
    <row r="30" spans="1:22" ht="15.75" x14ac:dyDescent="0.25">
      <c r="A30" s="12">
        <v>15</v>
      </c>
      <c r="B30" s="22" t="s">
        <v>195</v>
      </c>
      <c r="C30" s="196"/>
      <c r="D30" s="196"/>
      <c r="E30" s="12">
        <v>962.7</v>
      </c>
      <c r="F30" s="17">
        <f t="shared" ref="F30" si="119">E29</f>
        <v>921.2</v>
      </c>
      <c r="G30" s="19">
        <f t="shared" ref="G30" si="120">E30-F30</f>
        <v>41.5</v>
      </c>
      <c r="H30" s="17">
        <v>1</v>
      </c>
      <c r="I30" s="19">
        <f t="shared" ref="I30" si="121">G30*H30</f>
        <v>41.5</v>
      </c>
      <c r="J30" s="12">
        <v>9210.2999999999993</v>
      </c>
      <c r="K30" s="17">
        <f t="shared" ref="K30" si="122">J29</f>
        <v>8831.7999999999993</v>
      </c>
      <c r="L30" s="19">
        <f t="shared" ref="L30" si="123">J30-K30</f>
        <v>378.5</v>
      </c>
      <c r="M30" s="17">
        <v>1</v>
      </c>
      <c r="N30" s="19">
        <f t="shared" ref="N30" si="124">L30*M30</f>
        <v>378.5</v>
      </c>
      <c r="O30" s="17">
        <f t="shared" ref="O30" si="125">N30-I30</f>
        <v>337</v>
      </c>
      <c r="P30" s="12">
        <v>11090.4</v>
      </c>
      <c r="Q30" s="17">
        <f t="shared" ref="Q30" si="126">P29</f>
        <v>10691</v>
      </c>
      <c r="R30" s="19">
        <f t="shared" ref="R30" si="127">P30-Q30</f>
        <v>399.39999999999964</v>
      </c>
      <c r="S30" s="17">
        <v>1</v>
      </c>
      <c r="T30" s="19">
        <f t="shared" ref="T30" si="128">R30*S30</f>
        <v>399.39999999999964</v>
      </c>
      <c r="U30" s="19"/>
      <c r="V30" s="19"/>
    </row>
    <row r="31" spans="1:22" ht="15.75" x14ac:dyDescent="0.25">
      <c r="A31" s="12">
        <v>16</v>
      </c>
      <c r="B31" s="22" t="s">
        <v>203</v>
      </c>
      <c r="C31" s="196"/>
      <c r="D31" s="196"/>
      <c r="E31" s="12">
        <v>1010.2</v>
      </c>
      <c r="F31" s="17">
        <f t="shared" ref="F31" si="129">E30</f>
        <v>962.7</v>
      </c>
      <c r="G31" s="19">
        <f t="shared" ref="G31" si="130">E31-F31</f>
        <v>47.5</v>
      </c>
      <c r="H31" s="17">
        <v>1</v>
      </c>
      <c r="I31" s="19">
        <f t="shared" ref="I31" si="131">G31*H31</f>
        <v>47.5</v>
      </c>
      <c r="J31" s="12">
        <v>9521.6</v>
      </c>
      <c r="K31" s="17">
        <f t="shared" ref="K31" si="132">J30</f>
        <v>9210.2999999999993</v>
      </c>
      <c r="L31" s="19">
        <f t="shared" ref="L31" si="133">J31-K31</f>
        <v>311.30000000000109</v>
      </c>
      <c r="M31" s="17">
        <v>1</v>
      </c>
      <c r="N31" s="19">
        <f t="shared" ref="N31" si="134">L31*M31</f>
        <v>311.30000000000109</v>
      </c>
      <c r="O31" s="17">
        <f t="shared" ref="O31" si="135">N31-I31</f>
        <v>263.80000000000109</v>
      </c>
      <c r="P31" s="12">
        <v>11528.6</v>
      </c>
      <c r="Q31" s="17">
        <f t="shared" ref="Q31" si="136">P30</f>
        <v>11090.4</v>
      </c>
      <c r="R31" s="19">
        <f t="shared" ref="R31" si="137">P31-Q31</f>
        <v>438.20000000000073</v>
      </c>
      <c r="S31" s="17">
        <v>1</v>
      </c>
      <c r="T31" s="19">
        <f t="shared" ref="T31" si="138">R31*S31</f>
        <v>438.20000000000073</v>
      </c>
      <c r="U31" s="19"/>
      <c r="V31" s="19"/>
    </row>
    <row r="32" spans="1:22" ht="15.75" x14ac:dyDescent="0.25">
      <c r="A32" s="12">
        <v>17</v>
      </c>
      <c r="B32" s="22" t="s">
        <v>240</v>
      </c>
      <c r="C32" s="196"/>
      <c r="D32" s="196"/>
      <c r="E32" s="20">
        <v>1068.4000000000001</v>
      </c>
      <c r="F32" s="17">
        <f t="shared" ref="F32" si="139">E31</f>
        <v>1010.2</v>
      </c>
      <c r="G32" s="19">
        <f t="shared" ref="G32" si="140">E32-F32</f>
        <v>58.200000000000045</v>
      </c>
      <c r="H32" s="17">
        <v>1</v>
      </c>
      <c r="I32" s="19">
        <f t="shared" ref="I32" si="141">G32*H32</f>
        <v>58.200000000000045</v>
      </c>
      <c r="J32" s="66">
        <v>9794.7999999999993</v>
      </c>
      <c r="K32" s="17">
        <f t="shared" ref="K32" si="142">J31</f>
        <v>9521.6</v>
      </c>
      <c r="L32" s="19">
        <f t="shared" ref="L32" si="143">J32-K32</f>
        <v>273.19999999999891</v>
      </c>
      <c r="M32" s="17">
        <v>1</v>
      </c>
      <c r="N32" s="19">
        <f t="shared" ref="N32" si="144">L32*M32</f>
        <v>273.19999999999891</v>
      </c>
      <c r="O32" s="17">
        <f t="shared" ref="O32" si="145">N32-I32</f>
        <v>214.99999999999886</v>
      </c>
      <c r="P32" s="66">
        <v>11857</v>
      </c>
      <c r="Q32" s="17">
        <f t="shared" ref="Q32" si="146">P31</f>
        <v>11528.6</v>
      </c>
      <c r="R32" s="19">
        <f t="shared" ref="R32" si="147">P32-Q32</f>
        <v>328.39999999999964</v>
      </c>
      <c r="S32" s="17">
        <v>1</v>
      </c>
      <c r="T32" s="19">
        <f t="shared" ref="T32" si="148">R32*S32</f>
        <v>328.39999999999964</v>
      </c>
      <c r="U32" s="66">
        <v>0.26</v>
      </c>
      <c r="V32" s="66">
        <v>0.97</v>
      </c>
    </row>
    <row r="33" spans="1:22" ht="15.75" x14ac:dyDescent="0.25">
      <c r="A33" s="12">
        <v>18</v>
      </c>
      <c r="B33" s="22" t="s">
        <v>244</v>
      </c>
      <c r="C33" s="196"/>
      <c r="D33" s="196"/>
      <c r="E33" s="20">
        <f>E32+35</f>
        <v>1103.4000000000001</v>
      </c>
      <c r="F33" s="17">
        <f t="shared" ref="F33" si="149">E32</f>
        <v>1068.4000000000001</v>
      </c>
      <c r="G33" s="19">
        <f t="shared" ref="G33" si="150">E33-F33</f>
        <v>35</v>
      </c>
      <c r="H33" s="17">
        <f t="shared" ref="H33:H39" si="151">H32</f>
        <v>1</v>
      </c>
      <c r="I33" s="19">
        <f t="shared" ref="I33" si="152">G33*H33</f>
        <v>35</v>
      </c>
      <c r="J33" s="8">
        <f>J32+292</f>
        <v>10086.799999999999</v>
      </c>
      <c r="K33" s="17">
        <f t="shared" ref="K33" si="153">J32</f>
        <v>9794.7999999999993</v>
      </c>
      <c r="L33" s="19">
        <f t="shared" ref="L33" si="154">J33-K33</f>
        <v>292</v>
      </c>
      <c r="M33" s="17">
        <f t="shared" ref="M33:M39" si="155">M32</f>
        <v>1</v>
      </c>
      <c r="N33" s="19">
        <f t="shared" ref="N33" si="156">L33*M33</f>
        <v>292</v>
      </c>
      <c r="O33" s="17">
        <f t="shared" ref="O33" si="157">N33-I33</f>
        <v>257</v>
      </c>
      <c r="P33" s="8">
        <f>P32+335</f>
        <v>12192</v>
      </c>
      <c r="Q33" s="17">
        <f t="shared" ref="Q33" si="158">P32</f>
        <v>11857</v>
      </c>
      <c r="R33" s="19">
        <f t="shared" ref="R33" si="159">P33-Q33</f>
        <v>335</v>
      </c>
      <c r="S33" s="17">
        <f t="shared" ref="S33:S39" si="160">S32</f>
        <v>1</v>
      </c>
      <c r="T33" s="19">
        <f t="shared" ref="T33" si="161">R33*S33</f>
        <v>335</v>
      </c>
      <c r="U33" s="8">
        <v>0.4</v>
      </c>
      <c r="V33" s="8">
        <v>0.99</v>
      </c>
    </row>
    <row r="34" spans="1:22" ht="15.75" x14ac:dyDescent="0.25">
      <c r="A34" s="12">
        <v>19</v>
      </c>
      <c r="B34" s="22" t="s">
        <v>245</v>
      </c>
      <c r="C34" s="196"/>
      <c r="D34" s="196"/>
      <c r="E34" s="12">
        <v>1168.4000000000001</v>
      </c>
      <c r="F34" s="17">
        <f t="shared" ref="F34" si="162">E33</f>
        <v>1103.4000000000001</v>
      </c>
      <c r="G34" s="19">
        <f t="shared" ref="G34" si="163">E34-F34</f>
        <v>65</v>
      </c>
      <c r="H34" s="17">
        <f t="shared" si="151"/>
        <v>1</v>
      </c>
      <c r="I34" s="19">
        <f t="shared" ref="I34" si="164">G34*H34</f>
        <v>65</v>
      </c>
      <c r="J34" s="12">
        <v>10586</v>
      </c>
      <c r="K34" s="17">
        <f t="shared" ref="K34" si="165">J33</f>
        <v>10086.799999999999</v>
      </c>
      <c r="L34" s="19">
        <f t="shared" ref="L34" si="166">J34-K34</f>
        <v>499.20000000000073</v>
      </c>
      <c r="M34" s="17">
        <f t="shared" si="155"/>
        <v>1</v>
      </c>
      <c r="N34" s="19">
        <f t="shared" ref="N34" si="167">L34*M34</f>
        <v>499.20000000000073</v>
      </c>
      <c r="O34" s="17">
        <f t="shared" ref="O34" si="168">N34-I34</f>
        <v>434.20000000000073</v>
      </c>
      <c r="P34" s="12">
        <v>12704</v>
      </c>
      <c r="Q34" s="17">
        <f t="shared" ref="Q34" si="169">P33</f>
        <v>12192</v>
      </c>
      <c r="R34" s="19">
        <f t="shared" ref="R34" si="170">P34-Q34</f>
        <v>512</v>
      </c>
      <c r="S34" s="17">
        <f t="shared" si="160"/>
        <v>1</v>
      </c>
      <c r="T34" s="19">
        <f t="shared" ref="T34" si="171">R34*S34</f>
        <v>512</v>
      </c>
      <c r="U34" s="8">
        <v>0.94</v>
      </c>
      <c r="V34" s="8"/>
    </row>
    <row r="35" spans="1:22" ht="15.75" x14ac:dyDescent="0.25">
      <c r="A35" s="12">
        <v>20</v>
      </c>
      <c r="B35" s="22" t="s">
        <v>246</v>
      </c>
      <c r="C35" s="196"/>
      <c r="D35" s="196"/>
      <c r="E35" s="12">
        <v>1213.4000000000001</v>
      </c>
      <c r="F35" s="17">
        <f t="shared" ref="F35" si="172">E34</f>
        <v>1168.4000000000001</v>
      </c>
      <c r="G35" s="19">
        <f t="shared" ref="G35" si="173">E35-F35</f>
        <v>45</v>
      </c>
      <c r="H35" s="17">
        <f t="shared" si="151"/>
        <v>1</v>
      </c>
      <c r="I35" s="19">
        <f t="shared" ref="I35" si="174">G35*H35</f>
        <v>45</v>
      </c>
      <c r="J35" s="12">
        <v>11057.3</v>
      </c>
      <c r="K35" s="17">
        <f t="shared" ref="K35" si="175">J34</f>
        <v>10586</v>
      </c>
      <c r="L35" s="19">
        <f t="shared" ref="L35" si="176">J35-K35</f>
        <v>471.29999999999927</v>
      </c>
      <c r="M35" s="17">
        <f t="shared" si="155"/>
        <v>1</v>
      </c>
      <c r="N35" s="19">
        <f t="shared" ref="N35" si="177">L35*M35</f>
        <v>471.29999999999927</v>
      </c>
      <c r="O35" s="17">
        <f t="shared" ref="O35" si="178">N35-I35</f>
        <v>426.29999999999927</v>
      </c>
      <c r="P35" s="12">
        <v>13192</v>
      </c>
      <c r="Q35" s="17">
        <f t="shared" ref="Q35" si="179">P34</f>
        <v>12704</v>
      </c>
      <c r="R35" s="19">
        <f t="shared" ref="R35" si="180">P35-Q35</f>
        <v>488</v>
      </c>
      <c r="S35" s="17">
        <f t="shared" si="160"/>
        <v>1</v>
      </c>
      <c r="T35" s="19">
        <f t="shared" ref="T35" si="181">R35*S35</f>
        <v>488</v>
      </c>
      <c r="U35" s="8">
        <v>0.7</v>
      </c>
      <c r="V35" s="8">
        <v>0.56999999999999995</v>
      </c>
    </row>
    <row r="36" spans="1:22" ht="15.75" x14ac:dyDescent="0.25">
      <c r="A36" s="12">
        <v>21</v>
      </c>
      <c r="B36" s="22" t="s">
        <v>252</v>
      </c>
      <c r="C36" s="196"/>
      <c r="D36" s="196"/>
      <c r="E36" s="12">
        <v>1270.4000000000001</v>
      </c>
      <c r="F36" s="17">
        <f t="shared" ref="F36" si="182">E35</f>
        <v>1213.4000000000001</v>
      </c>
      <c r="G36" s="19">
        <f t="shared" ref="G36" si="183">E36-F36</f>
        <v>57</v>
      </c>
      <c r="H36" s="17">
        <f t="shared" si="151"/>
        <v>1</v>
      </c>
      <c r="I36" s="19">
        <f t="shared" ref="I36" si="184">G36*H36</f>
        <v>57</v>
      </c>
      <c r="J36" s="12">
        <v>11469</v>
      </c>
      <c r="K36" s="17">
        <f t="shared" ref="K36" si="185">J35</f>
        <v>11057.3</v>
      </c>
      <c r="L36" s="19">
        <f t="shared" ref="L36" si="186">J36-K36</f>
        <v>411.70000000000073</v>
      </c>
      <c r="M36" s="17">
        <f t="shared" si="155"/>
        <v>1</v>
      </c>
      <c r="N36" s="19">
        <f t="shared" ref="N36" si="187">L36*M36</f>
        <v>411.70000000000073</v>
      </c>
      <c r="O36" s="17">
        <f t="shared" ref="O36" si="188">N36-I36</f>
        <v>354.70000000000073</v>
      </c>
      <c r="P36" s="12">
        <v>13642</v>
      </c>
      <c r="Q36" s="17">
        <f t="shared" ref="Q36" si="189">P35</f>
        <v>13192</v>
      </c>
      <c r="R36" s="19">
        <f t="shared" ref="R36" si="190">P36-Q36</f>
        <v>450</v>
      </c>
      <c r="S36" s="17">
        <f t="shared" si="160"/>
        <v>1</v>
      </c>
      <c r="T36" s="19">
        <f t="shared" ref="T36" si="191">R36*S36</f>
        <v>450</v>
      </c>
      <c r="U36" s="8">
        <v>0.84</v>
      </c>
      <c r="V36" s="8">
        <v>0.88</v>
      </c>
    </row>
    <row r="37" spans="1:22" ht="15.75" x14ac:dyDescent="0.25">
      <c r="A37" s="12">
        <v>22</v>
      </c>
      <c r="B37" s="22" t="s">
        <v>253</v>
      </c>
      <c r="C37" s="196"/>
      <c r="D37" s="196"/>
      <c r="E37" s="8">
        <v>1319.6</v>
      </c>
      <c r="F37" s="17">
        <f t="shared" ref="F37" si="192">E36</f>
        <v>1270.4000000000001</v>
      </c>
      <c r="G37" s="19">
        <f t="shared" ref="G37" si="193">E37-F37</f>
        <v>49.199999999999818</v>
      </c>
      <c r="H37" s="17">
        <f t="shared" si="151"/>
        <v>1</v>
      </c>
      <c r="I37" s="19">
        <f t="shared" ref="I37" si="194">G37*H37</f>
        <v>49.199999999999818</v>
      </c>
      <c r="J37" s="8">
        <v>11991.3</v>
      </c>
      <c r="K37" s="17">
        <f t="shared" ref="K37" si="195">J36</f>
        <v>11469</v>
      </c>
      <c r="L37" s="19">
        <f t="shared" ref="L37" si="196">J37-K37</f>
        <v>522.29999999999927</v>
      </c>
      <c r="M37" s="17">
        <f t="shared" si="155"/>
        <v>1</v>
      </c>
      <c r="N37" s="19">
        <f t="shared" ref="N37" si="197">L37*M37</f>
        <v>522.29999999999927</v>
      </c>
      <c r="O37" s="17">
        <f t="shared" ref="O37" si="198">N37-I37</f>
        <v>473.09999999999945</v>
      </c>
      <c r="P37" s="88">
        <v>14176</v>
      </c>
      <c r="Q37" s="17">
        <f t="shared" ref="Q37" si="199">P36</f>
        <v>13642</v>
      </c>
      <c r="R37" s="19">
        <f t="shared" ref="R37" si="200">P37-Q37</f>
        <v>534</v>
      </c>
      <c r="S37" s="17">
        <f t="shared" si="160"/>
        <v>1</v>
      </c>
      <c r="T37" s="19">
        <f t="shared" ref="T37" si="201">R37*S37</f>
        <v>534</v>
      </c>
      <c r="U37" s="8">
        <v>0.76</v>
      </c>
      <c r="V37" s="8">
        <v>0.83</v>
      </c>
    </row>
    <row r="38" spans="1:22" ht="15.75" x14ac:dyDescent="0.25">
      <c r="A38" s="12">
        <v>23</v>
      </c>
      <c r="B38" s="22" t="s">
        <v>254</v>
      </c>
      <c r="C38" s="196"/>
      <c r="D38" s="196"/>
      <c r="E38" s="8">
        <v>1363</v>
      </c>
      <c r="F38" s="17">
        <f t="shared" ref="F38" si="202">E37</f>
        <v>1319.6</v>
      </c>
      <c r="G38" s="19">
        <f t="shared" ref="G38" si="203">E38-F38</f>
        <v>43.400000000000091</v>
      </c>
      <c r="H38" s="17">
        <f t="shared" si="151"/>
        <v>1</v>
      </c>
      <c r="I38" s="19">
        <f t="shared" ref="I38" si="204">G38*H38</f>
        <v>43.400000000000091</v>
      </c>
      <c r="J38" s="8">
        <v>12491.3</v>
      </c>
      <c r="K38" s="17">
        <f t="shared" ref="K38" si="205">J37</f>
        <v>11991.3</v>
      </c>
      <c r="L38" s="19">
        <f t="shared" ref="L38" si="206">J38-K38</f>
        <v>500</v>
      </c>
      <c r="M38" s="17">
        <f t="shared" si="155"/>
        <v>1</v>
      </c>
      <c r="N38" s="19">
        <f t="shared" ref="N38" si="207">L38*M38</f>
        <v>500</v>
      </c>
      <c r="O38" s="17">
        <f t="shared" ref="O38" si="208">N38-I38</f>
        <v>456.59999999999991</v>
      </c>
      <c r="P38" s="8">
        <v>14687</v>
      </c>
      <c r="Q38" s="17">
        <f t="shared" ref="Q38" si="209">P37</f>
        <v>14176</v>
      </c>
      <c r="R38" s="19">
        <f t="shared" ref="R38" si="210">P38-Q38</f>
        <v>511</v>
      </c>
      <c r="S38" s="17">
        <f t="shared" si="160"/>
        <v>1</v>
      </c>
      <c r="T38" s="19">
        <f t="shared" ref="T38" si="211">R38*S38</f>
        <v>511</v>
      </c>
      <c r="U38" s="8">
        <v>0.74</v>
      </c>
      <c r="V38" s="8">
        <v>0.85</v>
      </c>
    </row>
    <row r="39" spans="1:22" ht="15.75" x14ac:dyDescent="0.25">
      <c r="A39" s="12">
        <v>24</v>
      </c>
      <c r="B39" s="22" t="s">
        <v>258</v>
      </c>
      <c r="C39" s="196"/>
      <c r="D39" s="196"/>
      <c r="E39" s="8">
        <v>1408</v>
      </c>
      <c r="F39" s="17">
        <f t="shared" ref="F39" si="212">E38</f>
        <v>1363</v>
      </c>
      <c r="G39" s="19">
        <f t="shared" ref="G39" si="213">E39-F39</f>
        <v>45</v>
      </c>
      <c r="H39" s="17">
        <f t="shared" si="151"/>
        <v>1</v>
      </c>
      <c r="I39" s="19">
        <f t="shared" ref="I39" si="214">G39*H39</f>
        <v>45</v>
      </c>
      <c r="J39" s="8">
        <f>J38+435</f>
        <v>12926.3</v>
      </c>
      <c r="K39" s="17">
        <f t="shared" ref="K39" si="215">J38</f>
        <v>12491.3</v>
      </c>
      <c r="L39" s="19">
        <f t="shared" ref="L39" si="216">J39-K39</f>
        <v>435</v>
      </c>
      <c r="M39" s="17">
        <f t="shared" si="155"/>
        <v>1</v>
      </c>
      <c r="N39" s="19">
        <f t="shared" ref="N39" si="217">L39*M39</f>
        <v>435</v>
      </c>
      <c r="O39" s="17">
        <f t="shared" ref="O39" si="218">N39-I39</f>
        <v>390</v>
      </c>
      <c r="P39" s="8">
        <f>P38+436</f>
        <v>15123</v>
      </c>
      <c r="Q39" s="17">
        <f t="shared" ref="Q39" si="219">P38</f>
        <v>14687</v>
      </c>
      <c r="R39" s="19">
        <f t="shared" ref="R39" si="220">P39-Q39</f>
        <v>436</v>
      </c>
      <c r="S39" s="17">
        <f t="shared" si="160"/>
        <v>1</v>
      </c>
      <c r="T39" s="19">
        <f t="shared" ref="T39" si="221">R39*S39</f>
        <v>436</v>
      </c>
      <c r="U39" s="8"/>
      <c r="V39" s="8"/>
    </row>
    <row r="40" spans="1:22" s="3" customFormat="1" ht="15.75" x14ac:dyDescent="0.25">
      <c r="A40" s="88"/>
      <c r="B40" s="88"/>
      <c r="C40" s="88"/>
      <c r="D40" s="88"/>
      <c r="E40" s="88"/>
      <c r="F40" s="88"/>
      <c r="G40" s="88"/>
      <c r="H40" s="88" t="s">
        <v>121</v>
      </c>
      <c r="I40" s="12">
        <f>SUM(I28:I39)</f>
        <v>561.9</v>
      </c>
      <c r="J40" s="88"/>
      <c r="K40" s="88"/>
      <c r="L40" s="88"/>
      <c r="M40" s="88"/>
      <c r="N40" s="12">
        <f t="shared" ref="N40:O40" si="222">SUM(N28:N39)</f>
        <v>5091.1999999999989</v>
      </c>
      <c r="O40" s="12">
        <f t="shared" si="222"/>
        <v>4529.2999999999993</v>
      </c>
      <c r="P40" s="88"/>
      <c r="Q40" s="88"/>
      <c r="R40" s="88"/>
      <c r="S40" s="88"/>
      <c r="T40" s="12">
        <f>SUM(T28:T39)</f>
        <v>5384</v>
      </c>
      <c r="U40" s="88"/>
      <c r="V40" s="88"/>
    </row>
    <row r="41" spans="1:22" ht="15.75" x14ac:dyDescent="0.25">
      <c r="A41" s="12">
        <v>25</v>
      </c>
      <c r="B41" s="22" t="s">
        <v>259</v>
      </c>
      <c r="C41" s="19" t="s">
        <v>197</v>
      </c>
      <c r="D41" s="8" t="s">
        <v>32</v>
      </c>
      <c r="E41" s="8">
        <v>1452</v>
      </c>
      <c r="F41" s="8">
        <f>E39</f>
        <v>1408</v>
      </c>
      <c r="G41" s="17">
        <f t="shared" ref="G41" si="223">E41-F41</f>
        <v>44</v>
      </c>
      <c r="H41" s="17">
        <f>H39</f>
        <v>1</v>
      </c>
      <c r="I41" s="17">
        <f t="shared" ref="I41" si="224">G41*H41</f>
        <v>44</v>
      </c>
      <c r="J41" s="8">
        <f>J39+387+55</f>
        <v>13368.3</v>
      </c>
      <c r="K41" s="8">
        <f>J39</f>
        <v>12926.3</v>
      </c>
      <c r="L41" s="17">
        <f t="shared" ref="L41:L43" si="225">J41-K41</f>
        <v>442</v>
      </c>
      <c r="M41" s="17">
        <f>M39</f>
        <v>1</v>
      </c>
      <c r="N41" s="17">
        <f t="shared" ref="N41" si="226">L41*M41</f>
        <v>442</v>
      </c>
      <c r="O41" s="17">
        <f t="shared" ref="O41" si="227">N41-I41</f>
        <v>398</v>
      </c>
      <c r="P41" s="8">
        <f>P39+387</f>
        <v>15510</v>
      </c>
      <c r="Q41" s="17">
        <f>P39</f>
        <v>15123</v>
      </c>
      <c r="R41" s="19">
        <f t="shared" ref="R41:R43" si="228">P41-Q41</f>
        <v>387</v>
      </c>
      <c r="S41" s="17">
        <f>S39</f>
        <v>1</v>
      </c>
      <c r="T41" s="19">
        <f t="shared" ref="T41:T43" si="229">R41*S41</f>
        <v>387</v>
      </c>
      <c r="U41" s="8"/>
      <c r="V41" s="8"/>
    </row>
    <row r="42" spans="1:22" ht="15.75" x14ac:dyDescent="0.25">
      <c r="A42" s="12">
        <v>26</v>
      </c>
      <c r="B42" s="22" t="s">
        <v>263</v>
      </c>
      <c r="C42" s="19" t="s">
        <v>197</v>
      </c>
      <c r="D42" s="8" t="s">
        <v>32</v>
      </c>
      <c r="E42" s="8">
        <v>1509</v>
      </c>
      <c r="F42" s="8">
        <f t="shared" ref="F42:F47" si="230">E41</f>
        <v>1452</v>
      </c>
      <c r="G42" s="17">
        <f t="shared" ref="G42:G43" si="231">E42-F42</f>
        <v>57</v>
      </c>
      <c r="H42" s="17">
        <f>H41</f>
        <v>1</v>
      </c>
      <c r="I42" s="17">
        <f t="shared" ref="I42:I43" si="232">G42*H42</f>
        <v>57</v>
      </c>
      <c r="J42" s="8">
        <f>J41+430</f>
        <v>13798.3</v>
      </c>
      <c r="K42" s="8">
        <f>J41</f>
        <v>13368.3</v>
      </c>
      <c r="L42" s="17">
        <f t="shared" si="225"/>
        <v>430</v>
      </c>
      <c r="M42" s="21">
        <f>M41</f>
        <v>1</v>
      </c>
      <c r="N42" s="17">
        <f t="shared" ref="N42:N43" si="233">L42*M42</f>
        <v>430</v>
      </c>
      <c r="O42" s="17">
        <f t="shared" ref="O42:O43" si="234">N42-I42</f>
        <v>373</v>
      </c>
      <c r="P42" s="8">
        <f>P41+430</f>
        <v>15940</v>
      </c>
      <c r="Q42" s="8">
        <f t="shared" ref="Q42:Q47" si="235">P41</f>
        <v>15510</v>
      </c>
      <c r="R42" s="19">
        <f t="shared" si="228"/>
        <v>430</v>
      </c>
      <c r="S42" s="21">
        <f>S41</f>
        <v>1</v>
      </c>
      <c r="T42" s="19">
        <f t="shared" si="229"/>
        <v>430</v>
      </c>
      <c r="U42" s="8"/>
      <c r="V42" s="8"/>
    </row>
    <row r="43" spans="1:22" ht="15.75" x14ac:dyDescent="0.25">
      <c r="A43" s="12">
        <v>27</v>
      </c>
      <c r="B43" s="22" t="s">
        <v>265</v>
      </c>
      <c r="C43" s="19" t="s">
        <v>197</v>
      </c>
      <c r="D43" s="8" t="s">
        <v>32</v>
      </c>
      <c r="E43" s="8">
        <v>1563.3</v>
      </c>
      <c r="F43" s="8">
        <f t="shared" si="230"/>
        <v>1509</v>
      </c>
      <c r="G43" s="17">
        <f t="shared" si="231"/>
        <v>54.299999999999955</v>
      </c>
      <c r="H43" s="17">
        <f t="shared" ref="H43:H82" si="236">H41</f>
        <v>1</v>
      </c>
      <c r="I43" s="17">
        <f t="shared" si="232"/>
        <v>54.299999999999955</v>
      </c>
      <c r="J43" s="8">
        <v>14228.9</v>
      </c>
      <c r="K43" s="8">
        <f>J42</f>
        <v>13798.3</v>
      </c>
      <c r="L43" s="17">
        <f t="shared" si="225"/>
        <v>430.60000000000036</v>
      </c>
      <c r="M43" s="17">
        <f>M41</f>
        <v>1</v>
      </c>
      <c r="N43" s="17">
        <f t="shared" si="233"/>
        <v>430.60000000000036</v>
      </c>
      <c r="O43" s="17">
        <f t="shared" si="234"/>
        <v>376.30000000000041</v>
      </c>
      <c r="P43" s="8">
        <v>16376.6</v>
      </c>
      <c r="Q43" s="8">
        <f t="shared" si="235"/>
        <v>15940</v>
      </c>
      <c r="R43" s="19">
        <f t="shared" si="228"/>
        <v>436.60000000000036</v>
      </c>
      <c r="S43" s="17">
        <f t="shared" ref="S43:S82" si="237">S41</f>
        <v>1</v>
      </c>
      <c r="T43" s="19">
        <f t="shared" si="229"/>
        <v>436.60000000000036</v>
      </c>
      <c r="U43" s="8"/>
      <c r="V43" s="8"/>
    </row>
    <row r="44" spans="1:22" ht="15.75" x14ac:dyDescent="0.25">
      <c r="A44" s="12">
        <v>28</v>
      </c>
      <c r="B44" s="22" t="s">
        <v>266</v>
      </c>
      <c r="C44" s="19" t="s">
        <v>197</v>
      </c>
      <c r="D44" s="8" t="s">
        <v>32</v>
      </c>
      <c r="E44" s="8">
        <v>1610.3</v>
      </c>
      <c r="F44" s="8">
        <f t="shared" si="230"/>
        <v>1563.3</v>
      </c>
      <c r="G44" s="17">
        <f t="shared" ref="G44" si="238">E44-F44</f>
        <v>47</v>
      </c>
      <c r="H44" s="17">
        <f t="shared" si="236"/>
        <v>1</v>
      </c>
      <c r="I44" s="17">
        <f t="shared" ref="I44" si="239">G44*H44</f>
        <v>47</v>
      </c>
      <c r="J44" s="8">
        <v>14450.9</v>
      </c>
      <c r="K44" s="8">
        <f>J43</f>
        <v>14228.9</v>
      </c>
      <c r="L44" s="17">
        <f t="shared" ref="L44" si="240">J44-K44</f>
        <v>222</v>
      </c>
      <c r="M44" s="17">
        <f>M42</f>
        <v>1</v>
      </c>
      <c r="N44" s="17">
        <f t="shared" ref="N44" si="241">L44*M44</f>
        <v>222</v>
      </c>
      <c r="O44" s="17">
        <f t="shared" ref="O44" si="242">N44-I44</f>
        <v>175</v>
      </c>
      <c r="P44" s="8">
        <v>16656.7</v>
      </c>
      <c r="Q44" s="8">
        <f t="shared" si="235"/>
        <v>16376.6</v>
      </c>
      <c r="R44" s="19">
        <f t="shared" ref="R44" si="243">P44-Q44</f>
        <v>280.10000000000036</v>
      </c>
      <c r="S44" s="17">
        <f t="shared" si="237"/>
        <v>1</v>
      </c>
      <c r="T44" s="19">
        <f t="shared" ref="T44" si="244">R44*S44</f>
        <v>280.10000000000036</v>
      </c>
      <c r="U44" s="8"/>
      <c r="V44" s="8"/>
    </row>
    <row r="45" spans="1:22" ht="15.75" x14ac:dyDescent="0.25">
      <c r="A45" s="12">
        <v>29</v>
      </c>
      <c r="B45" s="22" t="s">
        <v>267</v>
      </c>
      <c r="C45" s="19" t="s">
        <v>197</v>
      </c>
      <c r="D45" s="8" t="s">
        <v>32</v>
      </c>
      <c r="E45" s="8">
        <v>1670.1</v>
      </c>
      <c r="F45" s="8">
        <f t="shared" si="230"/>
        <v>1610.3</v>
      </c>
      <c r="G45" s="17">
        <f t="shared" ref="G45" si="245">E45-F45</f>
        <v>59.799999999999955</v>
      </c>
      <c r="H45" s="17">
        <f t="shared" si="236"/>
        <v>1</v>
      </c>
      <c r="I45" s="17">
        <f t="shared" ref="I45" si="246">G45*H45</f>
        <v>59.799999999999955</v>
      </c>
      <c r="J45" s="8">
        <v>14805.9</v>
      </c>
      <c r="K45" s="8">
        <f>J44</f>
        <v>14450.9</v>
      </c>
      <c r="L45" s="17">
        <f t="shared" ref="L45" si="247">J45-K45</f>
        <v>355</v>
      </c>
      <c r="M45" s="17">
        <f>M43</f>
        <v>1</v>
      </c>
      <c r="N45" s="17">
        <f t="shared" ref="N45" si="248">L45*M45</f>
        <v>355</v>
      </c>
      <c r="O45" s="17">
        <f t="shared" ref="O45:O48" si="249">N45-I45</f>
        <v>295.20000000000005</v>
      </c>
      <c r="P45" s="8">
        <v>17012</v>
      </c>
      <c r="Q45" s="8">
        <f t="shared" si="235"/>
        <v>16656.7</v>
      </c>
      <c r="R45" s="19">
        <f t="shared" ref="R45" si="250">P45-Q45</f>
        <v>355.29999999999927</v>
      </c>
      <c r="S45" s="17">
        <f t="shared" si="237"/>
        <v>1</v>
      </c>
      <c r="T45" s="19">
        <f t="shared" ref="T45" si="251">R45*S45</f>
        <v>355.29999999999927</v>
      </c>
      <c r="U45" s="8"/>
      <c r="V45" s="8"/>
    </row>
    <row r="46" spans="1:22" ht="15.75" x14ac:dyDescent="0.25">
      <c r="A46" s="12">
        <v>30</v>
      </c>
      <c r="B46" s="22" t="s">
        <v>268</v>
      </c>
      <c r="C46" s="19" t="s">
        <v>197</v>
      </c>
      <c r="D46" s="8" t="s">
        <v>32</v>
      </c>
      <c r="E46" s="8">
        <v>1720</v>
      </c>
      <c r="F46" s="8">
        <f t="shared" si="230"/>
        <v>1670.1</v>
      </c>
      <c r="G46" s="17">
        <f t="shared" ref="G46" si="252">E46-F46</f>
        <v>49.900000000000091</v>
      </c>
      <c r="H46" s="17">
        <f t="shared" si="236"/>
        <v>1</v>
      </c>
      <c r="I46" s="17">
        <f t="shared" ref="I46" si="253">G46*H46</f>
        <v>49.900000000000091</v>
      </c>
      <c r="J46" s="8">
        <f>J45+177</f>
        <v>14982.9</v>
      </c>
      <c r="K46" s="8">
        <f t="shared" ref="K46:K47" si="254">J45</f>
        <v>14805.9</v>
      </c>
      <c r="L46" s="17">
        <f t="shared" ref="L46:L47" si="255">J46-K46</f>
        <v>177</v>
      </c>
      <c r="M46" s="17">
        <f t="shared" ref="M46:M82" si="256">M44</f>
        <v>1</v>
      </c>
      <c r="N46" s="17">
        <f t="shared" ref="N46:N47" si="257">L46*M46</f>
        <v>177</v>
      </c>
      <c r="O46" s="17">
        <f t="shared" si="249"/>
        <v>127.09999999999991</v>
      </c>
      <c r="P46" s="8">
        <v>17189</v>
      </c>
      <c r="Q46" s="8">
        <f t="shared" si="235"/>
        <v>17012</v>
      </c>
      <c r="R46" s="19">
        <f t="shared" ref="R46" si="258">P46-Q46</f>
        <v>177</v>
      </c>
      <c r="S46" s="17">
        <f t="shared" si="237"/>
        <v>1</v>
      </c>
      <c r="T46" s="19">
        <f t="shared" ref="T46:T47" si="259">R46*S46</f>
        <v>177</v>
      </c>
      <c r="U46" s="8"/>
      <c r="V46" s="8"/>
    </row>
    <row r="47" spans="1:22" ht="15.75" x14ac:dyDescent="0.25">
      <c r="A47" s="12">
        <v>31</v>
      </c>
      <c r="B47" s="22" t="s">
        <v>272</v>
      </c>
      <c r="C47" s="19" t="s">
        <v>197</v>
      </c>
      <c r="D47" s="8" t="s">
        <v>32</v>
      </c>
      <c r="E47" s="8">
        <v>1772</v>
      </c>
      <c r="F47" s="8">
        <f t="shared" si="230"/>
        <v>1720</v>
      </c>
      <c r="G47" s="17">
        <f t="shared" ref="G47" si="260">E47-F47</f>
        <v>52</v>
      </c>
      <c r="H47" s="17">
        <f t="shared" si="236"/>
        <v>1</v>
      </c>
      <c r="I47" s="17">
        <f t="shared" ref="I47" si="261">G47*H47</f>
        <v>52</v>
      </c>
      <c r="J47" s="8">
        <f>15380.4-56.5</f>
        <v>15323.9</v>
      </c>
      <c r="K47" s="8">
        <f t="shared" si="254"/>
        <v>14982.9</v>
      </c>
      <c r="L47" s="17">
        <f t="shared" si="255"/>
        <v>341</v>
      </c>
      <c r="M47" s="17">
        <f t="shared" si="256"/>
        <v>1</v>
      </c>
      <c r="N47" s="17">
        <f t="shared" si="257"/>
        <v>341</v>
      </c>
      <c r="O47" s="17">
        <f t="shared" si="249"/>
        <v>289</v>
      </c>
      <c r="P47" s="8">
        <v>17530</v>
      </c>
      <c r="Q47" s="8">
        <f t="shared" si="235"/>
        <v>17189</v>
      </c>
      <c r="R47" s="19">
        <f t="shared" ref="R47" si="262">P47-Q47</f>
        <v>341</v>
      </c>
      <c r="S47" s="17">
        <f t="shared" si="237"/>
        <v>1</v>
      </c>
      <c r="T47" s="19">
        <f t="shared" si="259"/>
        <v>341</v>
      </c>
      <c r="U47" s="8"/>
      <c r="V47" s="8"/>
    </row>
    <row r="48" spans="1:22" ht="15.75" x14ac:dyDescent="0.25">
      <c r="A48" s="12">
        <v>32</v>
      </c>
      <c r="B48" s="22" t="s">
        <v>274</v>
      </c>
      <c r="C48" s="19" t="s">
        <v>197</v>
      </c>
      <c r="D48" s="8" t="s">
        <v>32</v>
      </c>
      <c r="E48" s="8">
        <v>1838</v>
      </c>
      <c r="F48" s="8">
        <f t="shared" ref="F48" si="263">E47</f>
        <v>1772</v>
      </c>
      <c r="G48" s="17">
        <f t="shared" ref="G48" si="264">E48-F48</f>
        <v>66</v>
      </c>
      <c r="H48" s="17">
        <f t="shared" si="236"/>
        <v>1</v>
      </c>
      <c r="I48" s="17">
        <f t="shared" ref="I48" si="265">G48*H48</f>
        <v>66</v>
      </c>
      <c r="J48" s="8">
        <v>15576</v>
      </c>
      <c r="K48" s="8">
        <f t="shared" ref="K48" si="266">J47</f>
        <v>15323.9</v>
      </c>
      <c r="L48" s="17">
        <f t="shared" ref="L48" si="267">J48-K48</f>
        <v>252.10000000000036</v>
      </c>
      <c r="M48" s="17">
        <f t="shared" si="256"/>
        <v>1</v>
      </c>
      <c r="N48" s="17">
        <f t="shared" ref="N48" si="268">L48*M48</f>
        <v>252.10000000000036</v>
      </c>
      <c r="O48" s="17">
        <f t="shared" si="249"/>
        <v>186.10000000000036</v>
      </c>
      <c r="P48" s="8">
        <v>17771</v>
      </c>
      <c r="Q48" s="8">
        <f t="shared" ref="Q48" si="269">P47</f>
        <v>17530</v>
      </c>
      <c r="R48" s="19">
        <f t="shared" ref="R48" si="270">P48-Q48</f>
        <v>241</v>
      </c>
      <c r="S48" s="17">
        <f t="shared" si="237"/>
        <v>1</v>
      </c>
      <c r="T48" s="19">
        <f t="shared" ref="T48" si="271">R48*S48</f>
        <v>241</v>
      </c>
      <c r="U48" s="8"/>
      <c r="V48" s="8"/>
    </row>
    <row r="49" spans="1:22" ht="15.75" x14ac:dyDescent="0.25">
      <c r="A49" s="12">
        <v>33</v>
      </c>
      <c r="B49" s="22" t="s">
        <v>276</v>
      </c>
      <c r="C49" s="19" t="s">
        <v>197</v>
      </c>
      <c r="D49" s="8" t="s">
        <v>32</v>
      </c>
      <c r="E49" s="8">
        <v>1915</v>
      </c>
      <c r="F49" s="8">
        <f t="shared" ref="F49" si="272">E48</f>
        <v>1838</v>
      </c>
      <c r="G49" s="17">
        <f t="shared" ref="G49" si="273">E49-F49</f>
        <v>77</v>
      </c>
      <c r="H49" s="17">
        <f t="shared" si="236"/>
        <v>1</v>
      </c>
      <c r="I49" s="17">
        <f t="shared" ref="I49" si="274">G49*H49</f>
        <v>77</v>
      </c>
      <c r="J49" s="8">
        <v>15576</v>
      </c>
      <c r="K49" s="8">
        <f t="shared" ref="K49" si="275">J48</f>
        <v>15576</v>
      </c>
      <c r="L49" s="17">
        <f t="shared" ref="L49" si="276">J49-K49</f>
        <v>0</v>
      </c>
      <c r="M49" s="17">
        <f t="shared" si="256"/>
        <v>1</v>
      </c>
      <c r="N49" s="17">
        <f t="shared" ref="N49" si="277">L49*M49</f>
        <v>0</v>
      </c>
      <c r="O49" s="17">
        <f t="shared" ref="O49" si="278">N49-I49</f>
        <v>-77</v>
      </c>
      <c r="P49" s="8">
        <v>17771</v>
      </c>
      <c r="Q49" s="8">
        <f t="shared" ref="Q49" si="279">P48</f>
        <v>17771</v>
      </c>
      <c r="R49" s="19">
        <f t="shared" ref="R49" si="280">P49-Q49</f>
        <v>0</v>
      </c>
      <c r="S49" s="17">
        <f t="shared" si="237"/>
        <v>1</v>
      </c>
      <c r="T49" s="19">
        <f t="shared" ref="T49" si="281">R49*S49</f>
        <v>0</v>
      </c>
      <c r="U49" s="8"/>
      <c r="V49" s="8">
        <v>0.89</v>
      </c>
    </row>
    <row r="50" spans="1:22" ht="15.75" x14ac:dyDescent="0.25">
      <c r="A50" s="12">
        <v>34</v>
      </c>
      <c r="B50" s="22" t="s">
        <v>262</v>
      </c>
      <c r="C50" s="19" t="s">
        <v>197</v>
      </c>
      <c r="D50" s="8" t="s">
        <v>32</v>
      </c>
      <c r="E50" s="8">
        <v>1988.8</v>
      </c>
      <c r="F50" s="8">
        <f t="shared" ref="F50" si="282">E49</f>
        <v>1915</v>
      </c>
      <c r="G50" s="17">
        <f t="shared" ref="G50" si="283">E50-F50</f>
        <v>73.799999999999955</v>
      </c>
      <c r="H50" s="17">
        <f t="shared" si="236"/>
        <v>1</v>
      </c>
      <c r="I50" s="17">
        <f t="shared" ref="I50" si="284">G50*H50</f>
        <v>73.799999999999955</v>
      </c>
      <c r="J50" s="8">
        <v>15576</v>
      </c>
      <c r="K50" s="8">
        <f t="shared" ref="K50" si="285">J49</f>
        <v>15576</v>
      </c>
      <c r="L50" s="17">
        <f t="shared" ref="L50" si="286">J50-K50</f>
        <v>0</v>
      </c>
      <c r="M50" s="17">
        <f t="shared" si="256"/>
        <v>1</v>
      </c>
      <c r="N50" s="17">
        <f t="shared" ref="N50" si="287">L50*M50</f>
        <v>0</v>
      </c>
      <c r="O50" s="17">
        <f t="shared" ref="O50" si="288">N50-I50</f>
        <v>-73.799999999999955</v>
      </c>
      <c r="P50" s="8">
        <v>17771</v>
      </c>
      <c r="Q50" s="8">
        <f t="shared" ref="Q50" si="289">P49</f>
        <v>17771</v>
      </c>
      <c r="R50" s="19">
        <f t="shared" ref="R50" si="290">P50-Q50</f>
        <v>0</v>
      </c>
      <c r="S50" s="17">
        <f t="shared" si="237"/>
        <v>1</v>
      </c>
      <c r="T50" s="19">
        <f t="shared" ref="T50" si="291">R50*S50</f>
        <v>0</v>
      </c>
      <c r="U50" s="8"/>
      <c r="V50" s="8"/>
    </row>
    <row r="51" spans="1:22" ht="15.75" x14ac:dyDescent="0.25">
      <c r="A51" s="12">
        <v>35</v>
      </c>
      <c r="B51" s="22" t="s">
        <v>277</v>
      </c>
      <c r="C51" s="19" t="s">
        <v>197</v>
      </c>
      <c r="D51" s="8" t="s">
        <v>32</v>
      </c>
      <c r="E51" s="8">
        <v>2061.5</v>
      </c>
      <c r="F51" s="8">
        <f t="shared" ref="F51" si="292">E50</f>
        <v>1988.8</v>
      </c>
      <c r="G51" s="17">
        <f t="shared" ref="G51" si="293">E51-F51</f>
        <v>72.700000000000045</v>
      </c>
      <c r="H51" s="17">
        <f t="shared" si="236"/>
        <v>1</v>
      </c>
      <c r="I51" s="17">
        <f t="shared" ref="I51" si="294">G51*H51</f>
        <v>72.700000000000045</v>
      </c>
      <c r="J51" s="8">
        <v>15576</v>
      </c>
      <c r="K51" s="8">
        <f t="shared" ref="K51" si="295">J50</f>
        <v>15576</v>
      </c>
      <c r="L51" s="17">
        <f t="shared" ref="L51" si="296">J51-K51</f>
        <v>0</v>
      </c>
      <c r="M51" s="17">
        <f t="shared" si="256"/>
        <v>1</v>
      </c>
      <c r="N51" s="17">
        <f t="shared" ref="N51" si="297">L51*M51</f>
        <v>0</v>
      </c>
      <c r="O51" s="17">
        <f t="shared" ref="O51" si="298">N51-I51</f>
        <v>-72.700000000000045</v>
      </c>
      <c r="P51" s="8">
        <v>17771</v>
      </c>
      <c r="Q51" s="8">
        <f t="shared" ref="Q51" si="299">P50</f>
        <v>17771</v>
      </c>
      <c r="R51" s="19">
        <f t="shared" ref="R51" si="300">P51-Q51</f>
        <v>0</v>
      </c>
      <c r="S51" s="17">
        <f t="shared" si="237"/>
        <v>1</v>
      </c>
      <c r="T51" s="19">
        <f t="shared" ref="T51" si="301">R51*S51</f>
        <v>0</v>
      </c>
      <c r="U51" s="8">
        <v>1.1000000000000001</v>
      </c>
      <c r="V51" s="8">
        <v>0.9</v>
      </c>
    </row>
    <row r="52" spans="1:22" ht="15.75" x14ac:dyDescent="0.25">
      <c r="A52" s="12">
        <v>36</v>
      </c>
      <c r="B52" s="22" t="s">
        <v>278</v>
      </c>
      <c r="C52" s="19" t="s">
        <v>197</v>
      </c>
      <c r="D52" s="8" t="s">
        <v>32</v>
      </c>
      <c r="E52" s="8">
        <f>E51+73</f>
        <v>2134.5</v>
      </c>
      <c r="F52" s="8">
        <f t="shared" ref="F52" si="302">E51</f>
        <v>2061.5</v>
      </c>
      <c r="G52" s="17">
        <f t="shared" ref="G52" si="303">E52-F52</f>
        <v>73</v>
      </c>
      <c r="H52" s="17">
        <f t="shared" si="236"/>
        <v>1</v>
      </c>
      <c r="I52" s="17">
        <f t="shared" ref="I52" si="304">G52*H52</f>
        <v>73</v>
      </c>
      <c r="J52" s="8">
        <v>15576</v>
      </c>
      <c r="K52" s="8">
        <f t="shared" ref="K52" si="305">J51</f>
        <v>15576</v>
      </c>
      <c r="L52" s="17">
        <f t="shared" ref="L52" si="306">J52-K52</f>
        <v>0</v>
      </c>
      <c r="M52" s="17">
        <f t="shared" si="256"/>
        <v>1</v>
      </c>
      <c r="N52" s="17">
        <f t="shared" ref="N52" si="307">L52*M52</f>
        <v>0</v>
      </c>
      <c r="O52" s="17">
        <f t="shared" ref="O52" si="308">N52-I52</f>
        <v>-73</v>
      </c>
      <c r="P52" s="8">
        <v>17771</v>
      </c>
      <c r="Q52" s="8">
        <f t="shared" ref="Q52" si="309">P51</f>
        <v>17771</v>
      </c>
      <c r="R52" s="19">
        <f t="shared" ref="R52" si="310">P52-Q52</f>
        <v>0</v>
      </c>
      <c r="S52" s="17">
        <f t="shared" si="237"/>
        <v>1</v>
      </c>
      <c r="T52" s="19">
        <f t="shared" ref="T52" si="311">R52*S52</f>
        <v>0</v>
      </c>
      <c r="U52" s="8"/>
      <c r="V52" s="8"/>
    </row>
    <row r="53" spans="1:22" ht="15.75" x14ac:dyDescent="0.25">
      <c r="A53" s="164"/>
      <c r="B53" s="22"/>
      <c r="C53" s="161"/>
      <c r="D53" s="8"/>
      <c r="E53" s="8"/>
      <c r="F53" s="8"/>
      <c r="G53" s="162"/>
      <c r="H53" s="162"/>
      <c r="I53" s="162"/>
      <c r="J53" s="8"/>
      <c r="K53" s="8"/>
      <c r="L53" s="162"/>
      <c r="M53" s="162"/>
      <c r="N53" s="162"/>
      <c r="O53" s="162"/>
      <c r="P53" s="8"/>
      <c r="Q53" s="8"/>
      <c r="R53" s="161"/>
      <c r="S53" s="162"/>
      <c r="T53" s="161"/>
      <c r="U53" s="8"/>
      <c r="V53" s="8"/>
    </row>
    <row r="54" spans="1:22" ht="15.75" x14ac:dyDescent="0.25">
      <c r="A54" s="12">
        <v>37</v>
      </c>
      <c r="B54" s="22" t="s">
        <v>279</v>
      </c>
      <c r="C54" s="19" t="s">
        <v>197</v>
      </c>
      <c r="D54" s="8" t="s">
        <v>32</v>
      </c>
      <c r="E54" s="8">
        <f>E52+60</f>
        <v>2194.5</v>
      </c>
      <c r="F54" s="8">
        <f t="shared" ref="F54" si="312">E52</f>
        <v>2134.5</v>
      </c>
      <c r="G54" s="17">
        <f t="shared" ref="G54" si="313">E54-F54</f>
        <v>60</v>
      </c>
      <c r="H54" s="17">
        <f>H51</f>
        <v>1</v>
      </c>
      <c r="I54" s="17">
        <f t="shared" ref="I54" si="314">G54*H54</f>
        <v>60</v>
      </c>
      <c r="J54" s="8">
        <v>15576</v>
      </c>
      <c r="K54" s="8">
        <f t="shared" ref="K54" si="315">J52</f>
        <v>15576</v>
      </c>
      <c r="L54" s="17">
        <f t="shared" ref="L54" si="316">J54-K54</f>
        <v>0</v>
      </c>
      <c r="M54" s="17">
        <f>M51</f>
        <v>1</v>
      </c>
      <c r="N54" s="17">
        <f t="shared" ref="N54" si="317">L54*M54</f>
        <v>0</v>
      </c>
      <c r="O54" s="17">
        <f t="shared" ref="O54" si="318">N54-I54</f>
        <v>-60</v>
      </c>
      <c r="P54" s="8">
        <v>17771</v>
      </c>
      <c r="Q54" s="8">
        <f t="shared" ref="Q54" si="319">P52</f>
        <v>17771</v>
      </c>
      <c r="R54" s="19">
        <f t="shared" ref="R54" si="320">P54-Q54</f>
        <v>0</v>
      </c>
      <c r="S54" s="17">
        <f>S51</f>
        <v>1</v>
      </c>
      <c r="T54" s="19">
        <f t="shared" ref="T54" si="321">R54*S54</f>
        <v>0</v>
      </c>
      <c r="U54" s="8"/>
      <c r="V54" s="8"/>
    </row>
    <row r="55" spans="1:22" ht="15.75" x14ac:dyDescent="0.25">
      <c r="A55" s="12">
        <v>38</v>
      </c>
      <c r="B55" s="22" t="s">
        <v>280</v>
      </c>
      <c r="C55" s="19" t="s">
        <v>197</v>
      </c>
      <c r="D55" s="8" t="s">
        <v>32</v>
      </c>
      <c r="E55" s="8">
        <f>E54+61</f>
        <v>2255.5</v>
      </c>
      <c r="F55" s="8">
        <f t="shared" ref="F55" si="322">E54</f>
        <v>2194.5</v>
      </c>
      <c r="G55" s="17">
        <f t="shared" ref="G55" si="323">E55-F55</f>
        <v>61</v>
      </c>
      <c r="H55" s="17">
        <f>H52</f>
        <v>1</v>
      </c>
      <c r="I55" s="17">
        <f t="shared" ref="I55" si="324">G55*H55</f>
        <v>61</v>
      </c>
      <c r="J55" s="8">
        <v>15576</v>
      </c>
      <c r="K55" s="8">
        <f t="shared" ref="K55" si="325">J54</f>
        <v>15576</v>
      </c>
      <c r="L55" s="17">
        <f t="shared" ref="L55" si="326">J55-K55</f>
        <v>0</v>
      </c>
      <c r="M55" s="17">
        <f>M52</f>
        <v>1</v>
      </c>
      <c r="N55" s="17">
        <f t="shared" ref="N55" si="327">L55*M55</f>
        <v>0</v>
      </c>
      <c r="O55" s="17">
        <f t="shared" ref="O55" si="328">N55-I55</f>
        <v>-61</v>
      </c>
      <c r="P55" s="8">
        <v>17771</v>
      </c>
      <c r="Q55" s="8">
        <f t="shared" ref="Q55" si="329">P54</f>
        <v>17771</v>
      </c>
      <c r="R55" s="19">
        <f t="shared" ref="R55" si="330">P55-Q55</f>
        <v>0</v>
      </c>
      <c r="S55" s="17">
        <f>S52</f>
        <v>1</v>
      </c>
      <c r="T55" s="19">
        <f t="shared" ref="T55" si="331">R55*S55</f>
        <v>0</v>
      </c>
      <c r="U55" s="8"/>
      <c r="V55" s="8"/>
    </row>
    <row r="56" spans="1:22" ht="15.75" x14ac:dyDescent="0.25">
      <c r="A56" s="12">
        <v>39</v>
      </c>
      <c r="B56" s="22" t="s">
        <v>281</v>
      </c>
      <c r="C56" s="19" t="s">
        <v>197</v>
      </c>
      <c r="D56" s="8" t="s">
        <v>32</v>
      </c>
      <c r="E56" s="8">
        <f>E55+59</f>
        <v>2314.5</v>
      </c>
      <c r="F56" s="8">
        <f t="shared" ref="F56" si="332">E55</f>
        <v>2255.5</v>
      </c>
      <c r="G56" s="17">
        <f t="shared" ref="G56" si="333">E56-F56</f>
        <v>59</v>
      </c>
      <c r="H56" s="17">
        <f t="shared" si="236"/>
        <v>1</v>
      </c>
      <c r="I56" s="17">
        <f t="shared" ref="I56" si="334">G56*H56</f>
        <v>59</v>
      </c>
      <c r="J56" s="8">
        <v>15576</v>
      </c>
      <c r="K56" s="8">
        <f t="shared" ref="K56" si="335">J55</f>
        <v>15576</v>
      </c>
      <c r="L56" s="17">
        <f t="shared" ref="L56" si="336">J56-K56</f>
        <v>0</v>
      </c>
      <c r="M56" s="17">
        <f t="shared" si="256"/>
        <v>1</v>
      </c>
      <c r="N56" s="17">
        <f t="shared" ref="N56" si="337">L56*M56</f>
        <v>0</v>
      </c>
      <c r="O56" s="17">
        <f t="shared" ref="O56" si="338">N56-I56</f>
        <v>-59</v>
      </c>
      <c r="P56" s="8">
        <v>17771</v>
      </c>
      <c r="Q56" s="8">
        <f t="shared" ref="Q56" si="339">P55</f>
        <v>17771</v>
      </c>
      <c r="R56" s="19">
        <f t="shared" ref="R56" si="340">P56-Q56</f>
        <v>0</v>
      </c>
      <c r="S56" s="17">
        <f t="shared" si="237"/>
        <v>1</v>
      </c>
      <c r="T56" s="19">
        <f t="shared" ref="T56" si="341">R56*S56</f>
        <v>0</v>
      </c>
      <c r="U56" s="8"/>
      <c r="V56" s="8"/>
    </row>
    <row r="57" spans="1:22" ht="15.75" x14ac:dyDescent="0.25">
      <c r="A57" s="12">
        <v>40</v>
      </c>
      <c r="B57" s="22" t="s">
        <v>282</v>
      </c>
      <c r="C57" s="19" t="s">
        <v>197</v>
      </c>
      <c r="D57" s="8" t="s">
        <v>32</v>
      </c>
      <c r="E57" s="8">
        <v>2375.9</v>
      </c>
      <c r="F57" s="8">
        <f t="shared" ref="F57" si="342">E56</f>
        <v>2314.5</v>
      </c>
      <c r="G57" s="17">
        <f t="shared" ref="G57" si="343">E57-F57</f>
        <v>61.400000000000091</v>
      </c>
      <c r="H57" s="17">
        <f t="shared" si="236"/>
        <v>1</v>
      </c>
      <c r="I57" s="17">
        <f t="shared" ref="I57" si="344">G57*H57</f>
        <v>61.400000000000091</v>
      </c>
      <c r="J57" s="8">
        <v>15576</v>
      </c>
      <c r="K57" s="8">
        <f t="shared" ref="K57" si="345">J56</f>
        <v>15576</v>
      </c>
      <c r="L57" s="17">
        <f t="shared" ref="L57" si="346">J57-K57</f>
        <v>0</v>
      </c>
      <c r="M57" s="17">
        <f t="shared" si="256"/>
        <v>1</v>
      </c>
      <c r="N57" s="17">
        <f t="shared" ref="N57" si="347">L57*M57</f>
        <v>0</v>
      </c>
      <c r="O57" s="17">
        <f t="shared" ref="O57" si="348">N57-I57</f>
        <v>-61.400000000000091</v>
      </c>
      <c r="P57" s="8">
        <v>17771</v>
      </c>
      <c r="Q57" s="8">
        <f t="shared" ref="Q57" si="349">P56</f>
        <v>17771</v>
      </c>
      <c r="R57" s="19">
        <f t="shared" ref="R57" si="350">P57-Q57</f>
        <v>0</v>
      </c>
      <c r="S57" s="17">
        <f t="shared" si="237"/>
        <v>1</v>
      </c>
      <c r="T57" s="19">
        <f t="shared" ref="T57" si="351">R57*S57</f>
        <v>0</v>
      </c>
      <c r="U57" s="8"/>
      <c r="V57" s="8"/>
    </row>
    <row r="58" spans="1:22" ht="15.75" x14ac:dyDescent="0.25">
      <c r="A58" s="12">
        <v>41</v>
      </c>
      <c r="B58" s="22" t="s">
        <v>283</v>
      </c>
      <c r="C58" s="19" t="s">
        <v>197</v>
      </c>
      <c r="D58" s="8" t="s">
        <v>32</v>
      </c>
      <c r="E58" s="8">
        <v>2442.1999999999998</v>
      </c>
      <c r="F58" s="8">
        <f t="shared" ref="F58" si="352">E57</f>
        <v>2375.9</v>
      </c>
      <c r="G58" s="17">
        <f t="shared" ref="G58" si="353">E58-F58</f>
        <v>66.299999999999727</v>
      </c>
      <c r="H58" s="17">
        <f t="shared" si="236"/>
        <v>1</v>
      </c>
      <c r="I58" s="17">
        <f t="shared" ref="I58" si="354">G58*H58</f>
        <v>66.299999999999727</v>
      </c>
      <c r="J58" s="8">
        <f>J57+24</f>
        <v>15600</v>
      </c>
      <c r="K58" s="8">
        <f t="shared" ref="K58" si="355">J57</f>
        <v>15576</v>
      </c>
      <c r="L58" s="17">
        <f t="shared" ref="L58" si="356">J58-K58</f>
        <v>24</v>
      </c>
      <c r="M58" s="17">
        <f t="shared" si="256"/>
        <v>1</v>
      </c>
      <c r="N58" s="17">
        <f t="shared" ref="N58" si="357">L58*M58</f>
        <v>24</v>
      </c>
      <c r="O58" s="17">
        <f t="shared" ref="O58" si="358">N58-I58</f>
        <v>-42.299999999999727</v>
      </c>
      <c r="P58" s="8">
        <v>17795</v>
      </c>
      <c r="Q58" s="8">
        <f t="shared" ref="Q58" si="359">P57</f>
        <v>17771</v>
      </c>
      <c r="R58" s="19">
        <f t="shared" ref="R58" si="360">P58-Q58</f>
        <v>24</v>
      </c>
      <c r="S58" s="17">
        <f t="shared" si="237"/>
        <v>1</v>
      </c>
      <c r="T58" s="19">
        <f t="shared" ref="T58" si="361">R58*S58</f>
        <v>24</v>
      </c>
      <c r="U58" s="8">
        <v>2.5</v>
      </c>
      <c r="V58" s="8">
        <v>0.98199999999999998</v>
      </c>
    </row>
    <row r="59" spans="1:22" ht="15.75" x14ac:dyDescent="0.25">
      <c r="A59" s="12">
        <v>42</v>
      </c>
      <c r="B59" s="22" t="s">
        <v>284</v>
      </c>
      <c r="C59" s="19" t="s">
        <v>197</v>
      </c>
      <c r="D59" s="8" t="s">
        <v>32</v>
      </c>
      <c r="E59" s="8">
        <v>2511.1999999999998</v>
      </c>
      <c r="F59" s="8">
        <f t="shared" ref="F59" si="362">E58</f>
        <v>2442.1999999999998</v>
      </c>
      <c r="G59" s="17">
        <f t="shared" ref="G59" si="363">E59-F59</f>
        <v>69</v>
      </c>
      <c r="H59" s="17">
        <f t="shared" si="236"/>
        <v>1</v>
      </c>
      <c r="I59" s="17">
        <f t="shared" ref="I59" si="364">G59*H59</f>
        <v>69</v>
      </c>
      <c r="J59" s="8">
        <v>15736.4</v>
      </c>
      <c r="K59" s="8">
        <f t="shared" ref="K59" si="365">J58</f>
        <v>15600</v>
      </c>
      <c r="L59" s="17">
        <f t="shared" ref="L59" si="366">J59-K59</f>
        <v>136.39999999999964</v>
      </c>
      <c r="M59" s="17">
        <f t="shared" si="256"/>
        <v>1</v>
      </c>
      <c r="N59" s="17">
        <f t="shared" ref="N59" si="367">L59*M59</f>
        <v>136.39999999999964</v>
      </c>
      <c r="O59" s="17">
        <f t="shared" ref="O59" si="368">N59-I59</f>
        <v>67.399999999999636</v>
      </c>
      <c r="P59" s="8">
        <v>17880</v>
      </c>
      <c r="Q59" s="8">
        <f t="shared" ref="Q59" si="369">P58</f>
        <v>17795</v>
      </c>
      <c r="R59" s="19">
        <f t="shared" ref="R59" si="370">P59-Q59</f>
        <v>85</v>
      </c>
      <c r="S59" s="17">
        <f t="shared" si="237"/>
        <v>1</v>
      </c>
      <c r="T59" s="19">
        <f t="shared" ref="T59" si="371">R59*S59</f>
        <v>85</v>
      </c>
      <c r="U59" s="8"/>
      <c r="V59" s="8">
        <v>0.97199999999999998</v>
      </c>
    </row>
    <row r="60" spans="1:22" ht="15.75" x14ac:dyDescent="0.25">
      <c r="A60" s="12">
        <v>43</v>
      </c>
      <c r="B60" s="22" t="s">
        <v>286</v>
      </c>
      <c r="C60" s="19" t="s">
        <v>197</v>
      </c>
      <c r="D60" s="8" t="s">
        <v>32</v>
      </c>
      <c r="E60" s="8">
        <v>2629.7</v>
      </c>
      <c r="F60" s="8">
        <f t="shared" ref="F60" si="372">E59</f>
        <v>2511.1999999999998</v>
      </c>
      <c r="G60" s="17">
        <f t="shared" ref="G60" si="373">E60-F60</f>
        <v>118.5</v>
      </c>
      <c r="H60" s="17">
        <f t="shared" si="236"/>
        <v>1</v>
      </c>
      <c r="I60" s="17">
        <f t="shared" ref="I60" si="374">G60*H60</f>
        <v>118.5</v>
      </c>
      <c r="J60" s="8">
        <v>15736.4</v>
      </c>
      <c r="K60" s="8">
        <f t="shared" ref="K60" si="375">J59</f>
        <v>15736.4</v>
      </c>
      <c r="L60" s="17">
        <f t="shared" ref="L60" si="376">J60-K60</f>
        <v>0</v>
      </c>
      <c r="M60" s="17">
        <f t="shared" si="256"/>
        <v>1</v>
      </c>
      <c r="N60" s="17">
        <f t="shared" ref="N60" si="377">L60*M60</f>
        <v>0</v>
      </c>
      <c r="O60" s="17">
        <f t="shared" ref="O60" si="378">N60-I60</f>
        <v>-118.5</v>
      </c>
      <c r="P60" s="8">
        <v>17880</v>
      </c>
      <c r="Q60" s="8">
        <f t="shared" ref="Q60" si="379">P59</f>
        <v>17880</v>
      </c>
      <c r="R60" s="19">
        <f t="shared" ref="R60" si="380">P60-Q60</f>
        <v>0</v>
      </c>
      <c r="S60" s="17">
        <f t="shared" si="237"/>
        <v>1</v>
      </c>
      <c r="T60" s="19">
        <f t="shared" ref="T60" si="381">R60*S60</f>
        <v>0</v>
      </c>
      <c r="U60" s="8">
        <v>2.4</v>
      </c>
      <c r="V60" s="8">
        <v>1</v>
      </c>
    </row>
    <row r="61" spans="1:22" ht="15.75" x14ac:dyDescent="0.25">
      <c r="A61" s="12">
        <v>44</v>
      </c>
      <c r="B61" s="22" t="s">
        <v>288</v>
      </c>
      <c r="C61" s="19" t="s">
        <v>197</v>
      </c>
      <c r="D61" s="8" t="s">
        <v>32</v>
      </c>
      <c r="E61" s="8">
        <v>2713.7</v>
      </c>
      <c r="F61" s="8">
        <f t="shared" ref="F61" si="382">E60</f>
        <v>2629.7</v>
      </c>
      <c r="G61" s="17">
        <f t="shared" ref="G61" si="383">E61-F61</f>
        <v>84</v>
      </c>
      <c r="H61" s="17">
        <f t="shared" si="236"/>
        <v>1</v>
      </c>
      <c r="I61" s="17">
        <f t="shared" ref="I61" si="384">G61*H61</f>
        <v>84</v>
      </c>
      <c r="J61" s="8">
        <v>15736.4</v>
      </c>
      <c r="K61" s="8">
        <f t="shared" ref="K61" si="385">J60</f>
        <v>15736.4</v>
      </c>
      <c r="L61" s="17">
        <f t="shared" ref="L61" si="386">J61-K61</f>
        <v>0</v>
      </c>
      <c r="M61" s="17">
        <f t="shared" si="256"/>
        <v>1</v>
      </c>
      <c r="N61" s="17">
        <f t="shared" ref="N61" si="387">L61*M61</f>
        <v>0</v>
      </c>
      <c r="O61" s="17">
        <f t="shared" ref="O61" si="388">N61-I61</f>
        <v>-84</v>
      </c>
      <c r="P61" s="8">
        <v>17880</v>
      </c>
      <c r="Q61" s="8">
        <f t="shared" ref="Q61" si="389">P60</f>
        <v>17880</v>
      </c>
      <c r="R61" s="19">
        <f t="shared" ref="R61" si="390">P61-Q61</f>
        <v>0</v>
      </c>
      <c r="S61" s="17">
        <f t="shared" si="237"/>
        <v>1</v>
      </c>
      <c r="T61" s="19">
        <f t="shared" ref="T61" si="391">R61*S61</f>
        <v>0</v>
      </c>
      <c r="U61" s="8"/>
      <c r="V61" s="8"/>
    </row>
    <row r="62" spans="1:22" ht="15.75" x14ac:dyDescent="0.25">
      <c r="A62" s="12">
        <v>45</v>
      </c>
      <c r="B62" s="22" t="s">
        <v>289</v>
      </c>
      <c r="C62" s="19" t="s">
        <v>197</v>
      </c>
      <c r="D62" s="8" t="s">
        <v>32</v>
      </c>
      <c r="E62" s="8">
        <v>2812</v>
      </c>
      <c r="F62" s="8">
        <f t="shared" ref="F62" si="392">E61</f>
        <v>2713.7</v>
      </c>
      <c r="G62" s="17">
        <f t="shared" ref="G62" si="393">E62-F62</f>
        <v>98.300000000000182</v>
      </c>
      <c r="H62" s="17">
        <f t="shared" si="236"/>
        <v>1</v>
      </c>
      <c r="I62" s="17">
        <f t="shared" ref="I62" si="394">G62*H62</f>
        <v>98.300000000000182</v>
      </c>
      <c r="J62" s="8">
        <v>15736.4</v>
      </c>
      <c r="K62" s="8">
        <f t="shared" ref="K62" si="395">J61</f>
        <v>15736.4</v>
      </c>
      <c r="L62" s="17">
        <f t="shared" ref="L62" si="396">J62-K62</f>
        <v>0</v>
      </c>
      <c r="M62" s="17">
        <f t="shared" si="256"/>
        <v>1</v>
      </c>
      <c r="N62" s="17">
        <f t="shared" ref="N62" si="397">L62*M62</f>
        <v>0</v>
      </c>
      <c r="O62" s="17">
        <f t="shared" ref="O62" si="398">N62-I62</f>
        <v>-98.300000000000182</v>
      </c>
      <c r="P62" s="8">
        <v>17880</v>
      </c>
      <c r="Q62" s="8">
        <f t="shared" ref="Q62" si="399">P61</f>
        <v>17880</v>
      </c>
      <c r="R62" s="19">
        <f t="shared" ref="R62" si="400">P62-Q62</f>
        <v>0</v>
      </c>
      <c r="S62" s="17">
        <f t="shared" si="237"/>
        <v>1</v>
      </c>
      <c r="T62" s="19">
        <f t="shared" ref="T62" si="401">R62*S62</f>
        <v>0</v>
      </c>
      <c r="U62" s="8"/>
      <c r="V62" s="8"/>
    </row>
    <row r="63" spans="1:22" ht="15.75" x14ac:dyDescent="0.25">
      <c r="A63" s="12">
        <v>46</v>
      </c>
      <c r="B63" s="22" t="s">
        <v>290</v>
      </c>
      <c r="C63" s="19" t="s">
        <v>197</v>
      </c>
      <c r="D63" s="8" t="s">
        <v>32</v>
      </c>
      <c r="E63" s="8">
        <v>2924.3</v>
      </c>
      <c r="F63" s="8">
        <f t="shared" ref="F63" si="402">E62</f>
        <v>2812</v>
      </c>
      <c r="G63" s="17">
        <f t="shared" ref="G63" si="403">E63-F63</f>
        <v>112.30000000000018</v>
      </c>
      <c r="H63" s="17">
        <f t="shared" si="236"/>
        <v>1</v>
      </c>
      <c r="I63" s="17">
        <f t="shared" ref="I63" si="404">G63*H63</f>
        <v>112.30000000000018</v>
      </c>
      <c r="J63" s="8">
        <v>15736.4</v>
      </c>
      <c r="K63" s="8">
        <f t="shared" ref="K63" si="405">J62</f>
        <v>15736.4</v>
      </c>
      <c r="L63" s="17">
        <f t="shared" ref="L63" si="406">J63-K63</f>
        <v>0</v>
      </c>
      <c r="M63" s="17">
        <f t="shared" si="256"/>
        <v>1</v>
      </c>
      <c r="N63" s="17">
        <f t="shared" ref="N63" si="407">L63*M63</f>
        <v>0</v>
      </c>
      <c r="O63" s="17">
        <f t="shared" ref="O63" si="408">N63-I63</f>
        <v>-112.30000000000018</v>
      </c>
      <c r="P63" s="8">
        <v>17880</v>
      </c>
      <c r="Q63" s="8">
        <f t="shared" ref="Q63" si="409">P62</f>
        <v>17880</v>
      </c>
      <c r="R63" s="19">
        <f t="shared" ref="R63" si="410">P63-Q63</f>
        <v>0</v>
      </c>
      <c r="S63" s="17">
        <f t="shared" si="237"/>
        <v>1</v>
      </c>
      <c r="T63" s="19">
        <f t="shared" ref="T63" si="411">R63*S63</f>
        <v>0</v>
      </c>
      <c r="U63" s="8">
        <v>0.92</v>
      </c>
      <c r="V63" s="8">
        <v>1</v>
      </c>
    </row>
    <row r="64" spans="1:22" ht="15.75" x14ac:dyDescent="0.25">
      <c r="A64" s="12">
        <v>47</v>
      </c>
      <c r="B64" s="22" t="s">
        <v>291</v>
      </c>
      <c r="C64" s="19" t="s">
        <v>197</v>
      </c>
      <c r="D64" s="8" t="s">
        <v>32</v>
      </c>
      <c r="E64" s="8">
        <v>3026.3</v>
      </c>
      <c r="F64" s="8">
        <f t="shared" ref="F64:F71" si="412">E63</f>
        <v>2924.3</v>
      </c>
      <c r="G64" s="17">
        <f t="shared" ref="G64:G71" si="413">E64-F64</f>
        <v>102</v>
      </c>
      <c r="H64" s="17">
        <f t="shared" si="236"/>
        <v>1</v>
      </c>
      <c r="I64" s="17">
        <f t="shared" ref="I64:I71" si="414">G64*H64</f>
        <v>102</v>
      </c>
      <c r="J64" s="8">
        <v>15886.1</v>
      </c>
      <c r="K64" s="8">
        <f t="shared" ref="K64:K71" si="415">J63</f>
        <v>15736.4</v>
      </c>
      <c r="L64" s="17">
        <f t="shared" ref="L64:L71" si="416">J64-K64</f>
        <v>149.70000000000073</v>
      </c>
      <c r="M64" s="17">
        <f t="shared" si="256"/>
        <v>1</v>
      </c>
      <c r="N64" s="17">
        <f t="shared" ref="N64:N71" si="417">L64*M64</f>
        <v>149.70000000000073</v>
      </c>
      <c r="O64" s="17">
        <f t="shared" ref="O64:O71" si="418">N64-I64</f>
        <v>47.700000000000728</v>
      </c>
      <c r="P64" s="8">
        <v>18083</v>
      </c>
      <c r="Q64" s="8">
        <f t="shared" ref="Q64:Q71" si="419">P63</f>
        <v>17880</v>
      </c>
      <c r="R64" s="19">
        <f t="shared" ref="R64:R71" si="420">P64-Q64</f>
        <v>203</v>
      </c>
      <c r="S64" s="17">
        <f t="shared" si="237"/>
        <v>1</v>
      </c>
      <c r="T64" s="19">
        <f t="shared" ref="T64:T71" si="421">R64*S64</f>
        <v>203</v>
      </c>
      <c r="U64" s="8">
        <v>1.2</v>
      </c>
      <c r="V64" s="8">
        <v>0.99</v>
      </c>
    </row>
    <row r="65" spans="1:22" ht="15.75" x14ac:dyDescent="0.25">
      <c r="A65" s="12">
        <v>48</v>
      </c>
      <c r="B65" s="22" t="s">
        <v>292</v>
      </c>
      <c r="C65" s="19" t="s">
        <v>197</v>
      </c>
      <c r="D65" s="8" t="s">
        <v>32</v>
      </c>
      <c r="E65" s="8">
        <v>3235.7</v>
      </c>
      <c r="F65" s="8">
        <f t="shared" si="412"/>
        <v>3026.3</v>
      </c>
      <c r="G65" s="17">
        <f t="shared" si="413"/>
        <v>209.39999999999964</v>
      </c>
      <c r="H65" s="17">
        <f t="shared" si="236"/>
        <v>1</v>
      </c>
      <c r="I65" s="17">
        <f t="shared" si="414"/>
        <v>209.39999999999964</v>
      </c>
      <c r="J65" s="8">
        <v>16319.1</v>
      </c>
      <c r="K65" s="8">
        <f t="shared" si="415"/>
        <v>15886.1</v>
      </c>
      <c r="L65" s="17">
        <f t="shared" si="416"/>
        <v>433</v>
      </c>
      <c r="M65" s="17">
        <f t="shared" si="256"/>
        <v>1</v>
      </c>
      <c r="N65" s="17">
        <f t="shared" si="417"/>
        <v>433</v>
      </c>
      <c r="O65" s="17">
        <f t="shared" si="418"/>
        <v>223.60000000000036</v>
      </c>
      <c r="P65" s="8">
        <v>18564</v>
      </c>
      <c r="Q65" s="8">
        <f t="shared" si="419"/>
        <v>18083</v>
      </c>
      <c r="R65" s="19">
        <f t="shared" si="420"/>
        <v>481</v>
      </c>
      <c r="S65" s="17">
        <f t="shared" si="237"/>
        <v>1</v>
      </c>
      <c r="T65" s="19">
        <f t="shared" si="421"/>
        <v>481</v>
      </c>
      <c r="U65" s="8">
        <v>1.9</v>
      </c>
      <c r="V65" s="8">
        <v>0.97</v>
      </c>
    </row>
    <row r="66" spans="1:22" ht="15.75" x14ac:dyDescent="0.25">
      <c r="A66" s="164"/>
      <c r="B66" s="22"/>
      <c r="C66" s="161"/>
      <c r="D66" s="8"/>
      <c r="E66" s="8"/>
      <c r="F66" s="8"/>
      <c r="G66" s="162"/>
      <c r="H66" s="162"/>
      <c r="I66" s="162"/>
      <c r="J66" s="8"/>
      <c r="K66" s="8"/>
      <c r="L66" s="162"/>
      <c r="M66" s="162"/>
      <c r="N66" s="162"/>
      <c r="O66" s="162"/>
      <c r="P66" s="8"/>
      <c r="Q66" s="8"/>
      <c r="R66" s="161"/>
      <c r="S66" s="162"/>
      <c r="T66" s="161"/>
      <c r="U66" s="8"/>
      <c r="V66" s="8"/>
    </row>
    <row r="67" spans="1:22" ht="15.75" x14ac:dyDescent="0.25">
      <c r="A67" s="12">
        <v>49</v>
      </c>
      <c r="B67" s="22" t="s">
        <v>293</v>
      </c>
      <c r="C67" s="19" t="s">
        <v>197</v>
      </c>
      <c r="D67" s="8" t="s">
        <v>32</v>
      </c>
      <c r="E67" s="8">
        <v>3360.9</v>
      </c>
      <c r="F67" s="8">
        <f>E65</f>
        <v>3235.7</v>
      </c>
      <c r="G67" s="17">
        <f t="shared" si="413"/>
        <v>125.20000000000027</v>
      </c>
      <c r="H67" s="17">
        <f>H64</f>
        <v>1</v>
      </c>
      <c r="I67" s="17">
        <f t="shared" si="414"/>
        <v>125.20000000000027</v>
      </c>
      <c r="J67" s="8">
        <v>16728.3</v>
      </c>
      <c r="K67" s="8">
        <f>J65</f>
        <v>16319.1</v>
      </c>
      <c r="L67" s="17">
        <f t="shared" si="416"/>
        <v>409.19999999999891</v>
      </c>
      <c r="M67" s="17">
        <f>M64</f>
        <v>1</v>
      </c>
      <c r="N67" s="17">
        <f t="shared" si="417"/>
        <v>409.19999999999891</v>
      </c>
      <c r="O67" s="17">
        <f t="shared" si="418"/>
        <v>283.99999999999864</v>
      </c>
      <c r="P67" s="8">
        <v>19076</v>
      </c>
      <c r="Q67" s="8">
        <f>P65</f>
        <v>18564</v>
      </c>
      <c r="R67" s="19">
        <f t="shared" si="420"/>
        <v>512</v>
      </c>
      <c r="S67" s="17">
        <f>S64</f>
        <v>1</v>
      </c>
      <c r="T67" s="19">
        <f t="shared" si="421"/>
        <v>512</v>
      </c>
      <c r="U67" s="8">
        <v>2</v>
      </c>
      <c r="V67" s="8">
        <v>0.95</v>
      </c>
    </row>
    <row r="68" spans="1:22" ht="15.75" x14ac:dyDescent="0.25">
      <c r="A68" s="12">
        <v>50</v>
      </c>
      <c r="B68" s="22" t="s">
        <v>294</v>
      </c>
      <c r="C68" s="19" t="s">
        <v>197</v>
      </c>
      <c r="D68" s="8" t="s">
        <v>32</v>
      </c>
      <c r="E68" s="8">
        <v>3464</v>
      </c>
      <c r="F68" s="8">
        <f t="shared" si="412"/>
        <v>3360.9</v>
      </c>
      <c r="G68" s="17">
        <f t="shared" si="413"/>
        <v>103.09999999999991</v>
      </c>
      <c r="H68" s="17">
        <f>H65</f>
        <v>1</v>
      </c>
      <c r="I68" s="17">
        <f t="shared" si="414"/>
        <v>103.09999999999991</v>
      </c>
      <c r="J68" s="8">
        <v>17038.599999999999</v>
      </c>
      <c r="K68" s="8">
        <f t="shared" si="415"/>
        <v>16728.3</v>
      </c>
      <c r="L68" s="17">
        <f t="shared" si="416"/>
        <v>310.29999999999927</v>
      </c>
      <c r="M68" s="17">
        <f>M65</f>
        <v>1</v>
      </c>
      <c r="N68" s="17">
        <f t="shared" si="417"/>
        <v>310.29999999999927</v>
      </c>
      <c r="O68" s="17">
        <f t="shared" si="418"/>
        <v>207.19999999999936</v>
      </c>
      <c r="P68" s="8">
        <v>19383</v>
      </c>
      <c r="Q68" s="8">
        <f t="shared" si="419"/>
        <v>19076</v>
      </c>
      <c r="R68" s="19">
        <f t="shared" si="420"/>
        <v>307</v>
      </c>
      <c r="S68" s="17">
        <f>S65</f>
        <v>1</v>
      </c>
      <c r="T68" s="19">
        <f t="shared" si="421"/>
        <v>307</v>
      </c>
      <c r="U68" s="8">
        <v>4.1399999999999997</v>
      </c>
      <c r="V68" s="8">
        <v>0.91</v>
      </c>
    </row>
    <row r="69" spans="1:22" ht="15.75" x14ac:dyDescent="0.25">
      <c r="A69" s="12">
        <v>51</v>
      </c>
      <c r="B69" s="22" t="s">
        <v>295</v>
      </c>
      <c r="C69" s="19" t="s">
        <v>197</v>
      </c>
      <c r="D69" s="8" t="s">
        <v>32</v>
      </c>
      <c r="E69" s="8">
        <v>3706.2</v>
      </c>
      <c r="F69" s="8">
        <f t="shared" si="412"/>
        <v>3464</v>
      </c>
      <c r="G69" s="17">
        <f t="shared" si="413"/>
        <v>242.19999999999982</v>
      </c>
      <c r="H69" s="17">
        <f t="shared" si="236"/>
        <v>1</v>
      </c>
      <c r="I69" s="17">
        <f t="shared" si="414"/>
        <v>242.19999999999982</v>
      </c>
      <c r="J69" s="8">
        <v>17333.400000000001</v>
      </c>
      <c r="K69" s="8">
        <f t="shared" si="415"/>
        <v>17038.599999999999</v>
      </c>
      <c r="L69" s="17">
        <f t="shared" si="416"/>
        <v>294.80000000000291</v>
      </c>
      <c r="M69" s="17">
        <f t="shared" si="256"/>
        <v>1</v>
      </c>
      <c r="N69" s="17">
        <f t="shared" si="417"/>
        <v>294.80000000000291</v>
      </c>
      <c r="O69" s="17">
        <f t="shared" si="418"/>
        <v>52.600000000003092</v>
      </c>
      <c r="P69" s="8">
        <v>19733</v>
      </c>
      <c r="Q69" s="8">
        <f t="shared" si="419"/>
        <v>19383</v>
      </c>
      <c r="R69" s="19">
        <f t="shared" si="420"/>
        <v>350</v>
      </c>
      <c r="S69" s="17">
        <f t="shared" si="237"/>
        <v>1</v>
      </c>
      <c r="T69" s="19">
        <f t="shared" si="421"/>
        <v>350</v>
      </c>
      <c r="U69" s="8">
        <v>3.54</v>
      </c>
      <c r="V69" s="8">
        <v>0.97199999999999998</v>
      </c>
    </row>
    <row r="70" spans="1:22" ht="15.75" x14ac:dyDescent="0.25">
      <c r="A70" s="12">
        <v>52</v>
      </c>
      <c r="B70" s="22" t="s">
        <v>296</v>
      </c>
      <c r="C70" s="19" t="s">
        <v>197</v>
      </c>
      <c r="D70" s="8" t="s">
        <v>32</v>
      </c>
      <c r="E70" s="8">
        <v>3999.8</v>
      </c>
      <c r="F70" s="8">
        <f t="shared" si="412"/>
        <v>3706.2</v>
      </c>
      <c r="G70" s="17">
        <f t="shared" si="413"/>
        <v>293.60000000000036</v>
      </c>
      <c r="H70" s="17">
        <f t="shared" si="236"/>
        <v>1</v>
      </c>
      <c r="I70" s="17">
        <f t="shared" si="414"/>
        <v>293.60000000000036</v>
      </c>
      <c r="J70" s="8">
        <v>17549.400000000001</v>
      </c>
      <c r="K70" s="8">
        <f t="shared" si="415"/>
        <v>17333.400000000001</v>
      </c>
      <c r="L70" s="17">
        <f t="shared" si="416"/>
        <v>216</v>
      </c>
      <c r="M70" s="17">
        <f t="shared" si="256"/>
        <v>1</v>
      </c>
      <c r="N70" s="17">
        <f t="shared" si="417"/>
        <v>216</v>
      </c>
      <c r="O70" s="17">
        <f t="shared" si="418"/>
        <v>-77.600000000000364</v>
      </c>
      <c r="P70" s="8">
        <v>20014</v>
      </c>
      <c r="Q70" s="8">
        <f t="shared" si="419"/>
        <v>19733</v>
      </c>
      <c r="R70" s="19">
        <f t="shared" si="420"/>
        <v>281</v>
      </c>
      <c r="S70" s="17">
        <f t="shared" si="237"/>
        <v>1</v>
      </c>
      <c r="T70" s="19">
        <f t="shared" si="421"/>
        <v>281</v>
      </c>
      <c r="U70" s="8">
        <v>3.8</v>
      </c>
      <c r="V70" s="8">
        <v>0.9</v>
      </c>
    </row>
    <row r="71" spans="1:22" ht="15.75" x14ac:dyDescent="0.25">
      <c r="A71" s="12">
        <v>53</v>
      </c>
      <c r="B71" s="22" t="s">
        <v>297</v>
      </c>
      <c r="C71" s="19" t="s">
        <v>197</v>
      </c>
      <c r="D71" s="8" t="s">
        <v>32</v>
      </c>
      <c r="E71" s="8">
        <v>4243.7</v>
      </c>
      <c r="F71" s="8">
        <f t="shared" si="412"/>
        <v>3999.8</v>
      </c>
      <c r="G71" s="17">
        <f t="shared" si="413"/>
        <v>243.89999999999964</v>
      </c>
      <c r="H71" s="17">
        <f t="shared" si="236"/>
        <v>1</v>
      </c>
      <c r="I71" s="17">
        <f t="shared" si="414"/>
        <v>243.89999999999964</v>
      </c>
      <c r="J71" s="8">
        <v>17796.8</v>
      </c>
      <c r="K71" s="8">
        <f t="shared" si="415"/>
        <v>17549.400000000001</v>
      </c>
      <c r="L71" s="17">
        <f t="shared" si="416"/>
        <v>247.39999999999782</v>
      </c>
      <c r="M71" s="17">
        <f t="shared" si="256"/>
        <v>1</v>
      </c>
      <c r="N71" s="17">
        <f t="shared" si="417"/>
        <v>247.39999999999782</v>
      </c>
      <c r="O71" s="17">
        <f t="shared" si="418"/>
        <v>3.499999999998181</v>
      </c>
      <c r="P71" s="8">
        <v>20331.3</v>
      </c>
      <c r="Q71" s="8">
        <f t="shared" si="419"/>
        <v>20014</v>
      </c>
      <c r="R71" s="19">
        <f t="shared" si="420"/>
        <v>317.29999999999927</v>
      </c>
      <c r="S71" s="17">
        <f t="shared" si="237"/>
        <v>1</v>
      </c>
      <c r="T71" s="19">
        <f t="shared" si="421"/>
        <v>317.29999999999927</v>
      </c>
      <c r="U71" s="8">
        <v>3.5</v>
      </c>
      <c r="V71" s="8">
        <v>0.9</v>
      </c>
    </row>
    <row r="72" spans="1:22" ht="15.75" x14ac:dyDescent="0.25">
      <c r="A72" s="12">
        <v>54</v>
      </c>
      <c r="B72" s="22" t="s">
        <v>298</v>
      </c>
      <c r="C72" s="19" t="s">
        <v>197</v>
      </c>
      <c r="D72" s="8" t="s">
        <v>32</v>
      </c>
      <c r="E72" s="8">
        <v>4431.7</v>
      </c>
      <c r="F72" s="8">
        <f t="shared" ref="F72" si="422">E71</f>
        <v>4243.7</v>
      </c>
      <c r="G72" s="17">
        <f t="shared" ref="G72" si="423">E72-F72</f>
        <v>188</v>
      </c>
      <c r="H72" s="17">
        <f t="shared" si="236"/>
        <v>1</v>
      </c>
      <c r="I72" s="17">
        <f t="shared" ref="I72" si="424">G72*H72</f>
        <v>188</v>
      </c>
      <c r="J72" s="8">
        <v>18144</v>
      </c>
      <c r="K72" s="8">
        <f t="shared" ref="K72" si="425">J71</f>
        <v>17796.8</v>
      </c>
      <c r="L72" s="17">
        <f t="shared" ref="L72" si="426">J72-K72</f>
        <v>347.20000000000073</v>
      </c>
      <c r="M72" s="17">
        <f t="shared" si="256"/>
        <v>1</v>
      </c>
      <c r="N72" s="17">
        <f t="shared" ref="N72" si="427">L72*M72</f>
        <v>347.20000000000073</v>
      </c>
      <c r="O72" s="17">
        <f t="shared" ref="O72" si="428">N72-I72</f>
        <v>159.20000000000073</v>
      </c>
      <c r="P72" s="8">
        <v>20736</v>
      </c>
      <c r="Q72" s="8">
        <f t="shared" ref="Q72" si="429">P71</f>
        <v>20331.3</v>
      </c>
      <c r="R72" s="19">
        <f t="shared" ref="R72" si="430">P72-Q72</f>
        <v>404.70000000000073</v>
      </c>
      <c r="S72" s="17">
        <f t="shared" si="237"/>
        <v>1</v>
      </c>
      <c r="T72" s="19">
        <f t="shared" ref="T72" si="431">R72*S72</f>
        <v>404.70000000000073</v>
      </c>
      <c r="U72" s="8">
        <v>2.6</v>
      </c>
      <c r="V72" s="8">
        <v>0.9</v>
      </c>
    </row>
    <row r="73" spans="1:22" ht="15.75" x14ac:dyDescent="0.25">
      <c r="A73" s="12">
        <v>55</v>
      </c>
      <c r="B73" s="22" t="s">
        <v>299</v>
      </c>
      <c r="C73" s="19" t="s">
        <v>197</v>
      </c>
      <c r="D73" s="8" t="s">
        <v>32</v>
      </c>
      <c r="E73" s="8">
        <v>4578.2</v>
      </c>
      <c r="F73" s="8">
        <f t="shared" ref="F73" si="432">E72</f>
        <v>4431.7</v>
      </c>
      <c r="G73" s="17">
        <f t="shared" ref="G73" si="433">E73-F73</f>
        <v>146.5</v>
      </c>
      <c r="H73" s="17">
        <f t="shared" si="236"/>
        <v>1</v>
      </c>
      <c r="I73" s="17">
        <f t="shared" ref="I73" si="434">G73*H73</f>
        <v>146.5</v>
      </c>
      <c r="J73" s="8">
        <v>18548.099999999999</v>
      </c>
      <c r="K73" s="8">
        <f t="shared" ref="K73" si="435">J72</f>
        <v>18144</v>
      </c>
      <c r="L73" s="17">
        <f t="shared" ref="L73" si="436">J73-K73</f>
        <v>404.09999999999854</v>
      </c>
      <c r="M73" s="17">
        <f t="shared" si="256"/>
        <v>1</v>
      </c>
      <c r="N73" s="17">
        <f t="shared" ref="N73" si="437">L73*M73</f>
        <v>404.09999999999854</v>
      </c>
      <c r="O73" s="17">
        <f t="shared" ref="O73" si="438">N73-I73</f>
        <v>257.59999999999854</v>
      </c>
      <c r="P73" s="8">
        <v>21203.9</v>
      </c>
      <c r="Q73" s="8">
        <f t="shared" ref="Q73" si="439">P72</f>
        <v>20736</v>
      </c>
      <c r="R73" s="19">
        <f t="shared" ref="R73" si="440">P73-Q73</f>
        <v>467.90000000000146</v>
      </c>
      <c r="S73" s="17">
        <f t="shared" si="237"/>
        <v>1</v>
      </c>
      <c r="T73" s="19">
        <f t="shared" ref="T73" si="441">R73*S73</f>
        <v>467.90000000000146</v>
      </c>
      <c r="U73" s="8">
        <v>2.4</v>
      </c>
      <c r="V73" s="8">
        <v>0.9</v>
      </c>
    </row>
    <row r="74" spans="1:22" ht="15.75" x14ac:dyDescent="0.25">
      <c r="A74" s="12">
        <v>56</v>
      </c>
      <c r="B74" s="22" t="s">
        <v>300</v>
      </c>
      <c r="C74" s="19" t="s">
        <v>197</v>
      </c>
      <c r="D74" s="8" t="s">
        <v>32</v>
      </c>
      <c r="E74" s="8">
        <v>4806.1000000000004</v>
      </c>
      <c r="F74" s="8">
        <f t="shared" ref="F74" si="442">E73</f>
        <v>4578.2</v>
      </c>
      <c r="G74" s="17">
        <f t="shared" ref="G74" si="443">E74-F74</f>
        <v>227.90000000000055</v>
      </c>
      <c r="H74" s="17">
        <f t="shared" si="236"/>
        <v>1</v>
      </c>
      <c r="I74" s="17">
        <f t="shared" ref="I74" si="444">G74*H74</f>
        <v>227.90000000000055</v>
      </c>
      <c r="J74" s="8">
        <v>18864.900000000001</v>
      </c>
      <c r="K74" s="8">
        <f t="shared" ref="K74" si="445">J73</f>
        <v>18548.099999999999</v>
      </c>
      <c r="L74" s="17">
        <f t="shared" ref="L74" si="446">J74-K74</f>
        <v>316.80000000000291</v>
      </c>
      <c r="M74" s="17">
        <f t="shared" si="256"/>
        <v>1</v>
      </c>
      <c r="N74" s="17">
        <f t="shared" ref="N74" si="447">L74*M74</f>
        <v>316.80000000000291</v>
      </c>
      <c r="O74" s="17">
        <f t="shared" ref="O74" si="448">N74-I74</f>
        <v>88.900000000002365</v>
      </c>
      <c r="P74" s="8">
        <v>21602.5</v>
      </c>
      <c r="Q74" s="8">
        <f t="shared" ref="Q74" si="449">P73</f>
        <v>21203.9</v>
      </c>
      <c r="R74" s="19">
        <f t="shared" ref="R74" si="450">P74-Q74</f>
        <v>398.59999999999854</v>
      </c>
      <c r="S74" s="17">
        <f t="shared" si="237"/>
        <v>1</v>
      </c>
      <c r="T74" s="19">
        <f t="shared" ref="T74" si="451">R74*S74</f>
        <v>398.59999999999854</v>
      </c>
      <c r="U74" s="8">
        <v>2.6</v>
      </c>
      <c r="V74" s="8">
        <v>0.9</v>
      </c>
    </row>
    <row r="75" spans="1:22" ht="15.75" x14ac:dyDescent="0.25">
      <c r="A75" s="12">
        <v>57</v>
      </c>
      <c r="B75" s="22" t="s">
        <v>301</v>
      </c>
      <c r="C75" s="19" t="s">
        <v>197</v>
      </c>
      <c r="D75" s="8" t="s">
        <v>32</v>
      </c>
      <c r="E75" s="8">
        <v>5034.5</v>
      </c>
      <c r="F75" s="8">
        <f t="shared" ref="F75:F77" si="452">E74</f>
        <v>4806.1000000000004</v>
      </c>
      <c r="G75" s="17">
        <f t="shared" ref="G75:G77" si="453">E75-F75</f>
        <v>228.39999999999964</v>
      </c>
      <c r="H75" s="17">
        <f t="shared" si="236"/>
        <v>1</v>
      </c>
      <c r="I75" s="17">
        <f t="shared" ref="I75:I77" si="454">G75*H75</f>
        <v>228.39999999999964</v>
      </c>
      <c r="J75" s="8">
        <v>19216.900000000001</v>
      </c>
      <c r="K75" s="8">
        <f t="shared" ref="K75:K77" si="455">J74</f>
        <v>18864.900000000001</v>
      </c>
      <c r="L75" s="17">
        <f t="shared" ref="L75:L77" si="456">J75-K75</f>
        <v>352</v>
      </c>
      <c r="M75" s="17">
        <f t="shared" si="256"/>
        <v>1</v>
      </c>
      <c r="N75" s="17">
        <f t="shared" ref="N75:N77" si="457">L75*M75</f>
        <v>352</v>
      </c>
      <c r="O75" s="17">
        <f t="shared" ref="O75:O77" si="458">N75-I75</f>
        <v>123.60000000000036</v>
      </c>
      <c r="P75" s="8">
        <v>22063.3</v>
      </c>
      <c r="Q75" s="8">
        <f t="shared" ref="Q75:Q77" si="459">P74</f>
        <v>21602.5</v>
      </c>
      <c r="R75" s="19">
        <f t="shared" ref="R75:R77" si="460">P75-Q75</f>
        <v>460.79999999999927</v>
      </c>
      <c r="S75" s="17">
        <f t="shared" si="237"/>
        <v>1</v>
      </c>
      <c r="T75" s="19">
        <f t="shared" ref="T75:T77" si="461">R75*S75</f>
        <v>460.79999999999927</v>
      </c>
      <c r="U75" s="8">
        <v>2.5</v>
      </c>
      <c r="V75" s="8">
        <v>0.9</v>
      </c>
    </row>
    <row r="76" spans="1:22" ht="15.75" x14ac:dyDescent="0.25">
      <c r="A76" s="12">
        <v>58</v>
      </c>
      <c r="B76" s="22" t="s">
        <v>302</v>
      </c>
      <c r="C76" s="19" t="s">
        <v>197</v>
      </c>
      <c r="D76" s="8" t="s">
        <v>32</v>
      </c>
      <c r="E76" s="8">
        <v>5272.7</v>
      </c>
      <c r="F76" s="8">
        <f t="shared" si="452"/>
        <v>5034.5</v>
      </c>
      <c r="G76" s="17">
        <f t="shared" si="453"/>
        <v>238.19999999999982</v>
      </c>
      <c r="H76" s="17">
        <f t="shared" si="236"/>
        <v>1</v>
      </c>
      <c r="I76" s="17">
        <f t="shared" si="454"/>
        <v>238.19999999999982</v>
      </c>
      <c r="J76" s="8">
        <v>19695.2</v>
      </c>
      <c r="K76" s="8">
        <f t="shared" si="455"/>
        <v>19216.900000000001</v>
      </c>
      <c r="L76" s="17">
        <f t="shared" si="456"/>
        <v>478.29999999999927</v>
      </c>
      <c r="M76" s="17">
        <f t="shared" si="256"/>
        <v>1</v>
      </c>
      <c r="N76" s="17">
        <f t="shared" si="457"/>
        <v>478.29999999999927</v>
      </c>
      <c r="O76" s="17">
        <f t="shared" si="458"/>
        <v>240.09999999999945</v>
      </c>
      <c r="P76" s="8">
        <v>22599.5</v>
      </c>
      <c r="Q76" s="8">
        <f t="shared" si="459"/>
        <v>22063.3</v>
      </c>
      <c r="R76" s="19">
        <f t="shared" si="460"/>
        <v>536.20000000000073</v>
      </c>
      <c r="S76" s="17">
        <f t="shared" si="237"/>
        <v>1</v>
      </c>
      <c r="T76" s="19">
        <f t="shared" si="461"/>
        <v>536.20000000000073</v>
      </c>
      <c r="U76" s="8">
        <v>2.5</v>
      </c>
      <c r="V76" s="8">
        <v>0.9</v>
      </c>
    </row>
    <row r="77" spans="1:22" ht="15.75" x14ac:dyDescent="0.25">
      <c r="A77" s="105">
        <v>59</v>
      </c>
      <c r="B77" s="116" t="s">
        <v>303</v>
      </c>
      <c r="C77" s="111" t="s">
        <v>197</v>
      </c>
      <c r="D77" s="8" t="s">
        <v>32</v>
      </c>
      <c r="E77" s="8">
        <v>5450.5</v>
      </c>
      <c r="F77" s="8">
        <f t="shared" si="452"/>
        <v>5272.7</v>
      </c>
      <c r="G77" s="106">
        <f t="shared" si="453"/>
        <v>177.80000000000018</v>
      </c>
      <c r="H77" s="106">
        <f t="shared" si="236"/>
        <v>1</v>
      </c>
      <c r="I77" s="106">
        <f t="shared" si="454"/>
        <v>177.80000000000018</v>
      </c>
      <c r="J77" s="8">
        <v>20125.8</v>
      </c>
      <c r="K77" s="8">
        <f t="shared" si="455"/>
        <v>19695.2</v>
      </c>
      <c r="L77" s="106">
        <f t="shared" si="456"/>
        <v>430.59999999999854</v>
      </c>
      <c r="M77" s="106">
        <f t="shared" si="256"/>
        <v>1</v>
      </c>
      <c r="N77" s="106">
        <f t="shared" si="457"/>
        <v>430.59999999999854</v>
      </c>
      <c r="O77" s="106">
        <f t="shared" si="458"/>
        <v>252.79999999999836</v>
      </c>
      <c r="P77" s="8">
        <v>23123.599999999999</v>
      </c>
      <c r="Q77" s="8">
        <f t="shared" si="459"/>
        <v>22599.5</v>
      </c>
      <c r="R77" s="111">
        <f t="shared" si="460"/>
        <v>524.09999999999854</v>
      </c>
      <c r="S77" s="106">
        <f t="shared" si="237"/>
        <v>1</v>
      </c>
      <c r="T77" s="111">
        <f t="shared" si="461"/>
        <v>524.09999999999854</v>
      </c>
      <c r="U77" s="8">
        <v>2.2000000000000002</v>
      </c>
      <c r="V77" s="8">
        <v>0.9</v>
      </c>
    </row>
    <row r="78" spans="1:22" ht="15.75" x14ac:dyDescent="0.25">
      <c r="A78" s="121">
        <v>60</v>
      </c>
      <c r="B78" s="116" t="s">
        <v>305</v>
      </c>
      <c r="C78" s="123" t="s">
        <v>197</v>
      </c>
      <c r="D78" s="8" t="s">
        <v>32</v>
      </c>
      <c r="E78" s="8">
        <f>E77+185</f>
        <v>5635.5</v>
      </c>
      <c r="F78" s="8">
        <f t="shared" ref="F78" si="462">E77</f>
        <v>5450.5</v>
      </c>
      <c r="G78" s="124">
        <f t="shared" ref="G78" si="463">E78-F78</f>
        <v>185</v>
      </c>
      <c r="H78" s="124">
        <f t="shared" si="236"/>
        <v>1</v>
      </c>
      <c r="I78" s="124">
        <f t="shared" ref="I78" si="464">G78*H78</f>
        <v>185</v>
      </c>
      <c r="J78" s="8">
        <f>J77+440</f>
        <v>20565.8</v>
      </c>
      <c r="K78" s="8">
        <f t="shared" ref="K78" si="465">J77</f>
        <v>20125.8</v>
      </c>
      <c r="L78" s="124">
        <f t="shared" ref="L78" si="466">J78-K78</f>
        <v>440</v>
      </c>
      <c r="M78" s="124">
        <f t="shared" si="256"/>
        <v>1</v>
      </c>
      <c r="N78" s="124">
        <f t="shared" ref="N78" si="467">L78*M78</f>
        <v>440</v>
      </c>
      <c r="O78" s="124">
        <f t="shared" ref="O78" si="468">N78-I78</f>
        <v>255</v>
      </c>
      <c r="P78" s="8">
        <f>P77+530</f>
        <v>23653.599999999999</v>
      </c>
      <c r="Q78" s="8">
        <f t="shared" ref="Q78" si="469">P77</f>
        <v>23123.599999999999</v>
      </c>
      <c r="R78" s="123">
        <f t="shared" ref="R78" si="470">P78-Q78</f>
        <v>530</v>
      </c>
      <c r="S78" s="124">
        <f t="shared" si="237"/>
        <v>1</v>
      </c>
      <c r="T78" s="123">
        <f t="shared" ref="T78" si="471">R78*S78</f>
        <v>530</v>
      </c>
      <c r="U78" s="8">
        <v>2.4</v>
      </c>
      <c r="V78" s="8">
        <v>0.9</v>
      </c>
    </row>
    <row r="79" spans="1:22" ht="15.75" x14ac:dyDescent="0.25">
      <c r="A79" s="121"/>
      <c r="B79" s="116"/>
      <c r="C79" s="161"/>
      <c r="D79" s="8"/>
      <c r="E79" s="8"/>
      <c r="F79" s="8"/>
      <c r="G79" s="162"/>
      <c r="H79" s="162"/>
      <c r="I79" s="162"/>
      <c r="J79" s="8"/>
      <c r="K79" s="8"/>
      <c r="L79" s="162"/>
      <c r="M79" s="162"/>
      <c r="N79" s="162"/>
      <c r="O79" s="162"/>
      <c r="P79" s="8"/>
      <c r="Q79" s="8"/>
      <c r="R79" s="161"/>
      <c r="S79" s="162"/>
      <c r="T79" s="161"/>
      <c r="U79" s="8"/>
      <c r="V79" s="8"/>
    </row>
    <row r="80" spans="1:22" ht="15.75" x14ac:dyDescent="0.25">
      <c r="A80" s="121">
        <v>61</v>
      </c>
      <c r="B80" s="116" t="s">
        <v>306</v>
      </c>
      <c r="C80" s="123" t="s">
        <v>197</v>
      </c>
      <c r="D80" s="8" t="s">
        <v>32</v>
      </c>
      <c r="E80" s="8">
        <v>5717.1</v>
      </c>
      <c r="F80" s="8">
        <f t="shared" ref="F80" si="472">E78</f>
        <v>5635.5</v>
      </c>
      <c r="G80" s="124">
        <f t="shared" ref="G80" si="473">E80-F80</f>
        <v>81.600000000000364</v>
      </c>
      <c r="H80" s="124">
        <f>H77</f>
        <v>1</v>
      </c>
      <c r="I80" s="124">
        <f t="shared" ref="I80" si="474">G80*H80</f>
        <v>81.600000000000364</v>
      </c>
      <c r="J80" s="8">
        <v>20974.2</v>
      </c>
      <c r="K80" s="8">
        <f t="shared" ref="K80" si="475">J78</f>
        <v>20565.8</v>
      </c>
      <c r="L80" s="124">
        <f t="shared" ref="L80" si="476">J80-K80</f>
        <v>408.40000000000146</v>
      </c>
      <c r="M80" s="124">
        <f>M77</f>
        <v>1</v>
      </c>
      <c r="N80" s="124">
        <f t="shared" ref="N80" si="477">L80*M80</f>
        <v>408.40000000000146</v>
      </c>
      <c r="O80" s="124">
        <f t="shared" ref="O80" si="478">N80-I80</f>
        <v>326.80000000000109</v>
      </c>
      <c r="P80" s="8">
        <v>24091.7</v>
      </c>
      <c r="Q80" s="8">
        <f t="shared" ref="Q80" si="479">P78</f>
        <v>23653.599999999999</v>
      </c>
      <c r="R80" s="123">
        <f t="shared" ref="R80" si="480">P80-Q80</f>
        <v>438.10000000000218</v>
      </c>
      <c r="S80" s="124">
        <f>S77</f>
        <v>1</v>
      </c>
      <c r="T80" s="123">
        <f t="shared" ref="T80" si="481">R80*S80</f>
        <v>438.10000000000218</v>
      </c>
      <c r="U80" s="8">
        <v>2</v>
      </c>
      <c r="V80" s="8">
        <v>0.9</v>
      </c>
    </row>
    <row r="81" spans="1:22" ht="15.75" x14ac:dyDescent="0.25">
      <c r="A81" s="121">
        <v>62</v>
      </c>
      <c r="B81" s="116" t="s">
        <v>307</v>
      </c>
      <c r="C81" s="129" t="s">
        <v>197</v>
      </c>
      <c r="D81" s="8" t="s">
        <v>32</v>
      </c>
      <c r="E81" s="8">
        <v>5848.2</v>
      </c>
      <c r="F81" s="8">
        <f t="shared" ref="F81" si="482">E80</f>
        <v>5717.1</v>
      </c>
      <c r="G81" s="136">
        <f t="shared" ref="G81" si="483">E81-F81</f>
        <v>131.09999999999945</v>
      </c>
      <c r="H81" s="136">
        <f>H78</f>
        <v>1</v>
      </c>
      <c r="I81" s="136">
        <f t="shared" ref="I81" si="484">G81*H81</f>
        <v>131.09999999999945</v>
      </c>
      <c r="J81" s="8">
        <v>21267.7</v>
      </c>
      <c r="K81" s="8">
        <f t="shared" ref="K81" si="485">J80</f>
        <v>20974.2</v>
      </c>
      <c r="L81" s="136">
        <f t="shared" ref="L81" si="486">J81-K81</f>
        <v>293.5</v>
      </c>
      <c r="M81" s="136">
        <f>M78</f>
        <v>1</v>
      </c>
      <c r="N81" s="136">
        <f t="shared" ref="N81" si="487">L81*M81</f>
        <v>293.5</v>
      </c>
      <c r="O81" s="136">
        <f t="shared" ref="O81" si="488">N81-I81</f>
        <v>162.40000000000055</v>
      </c>
      <c r="P81" s="8">
        <v>24397.5</v>
      </c>
      <c r="Q81" s="8">
        <f t="shared" ref="Q81" si="489">P80</f>
        <v>24091.7</v>
      </c>
      <c r="R81" s="138">
        <f t="shared" ref="R81" si="490">P81-Q81</f>
        <v>305.79999999999927</v>
      </c>
      <c r="S81" s="136">
        <f>S78</f>
        <v>1</v>
      </c>
      <c r="T81" s="138">
        <f t="shared" ref="T81" si="491">R81*S81</f>
        <v>305.79999999999927</v>
      </c>
      <c r="U81" s="8">
        <v>2.2999999999999998</v>
      </c>
      <c r="V81" s="8">
        <v>0.9</v>
      </c>
    </row>
    <row r="82" spans="1:22" ht="15.75" x14ac:dyDescent="0.25">
      <c r="A82" s="121">
        <v>63</v>
      </c>
      <c r="B82" s="116" t="s">
        <v>309</v>
      </c>
      <c r="C82" s="138" t="s">
        <v>197</v>
      </c>
      <c r="D82" s="8" t="s">
        <v>32</v>
      </c>
      <c r="E82" s="8">
        <v>6157.7</v>
      </c>
      <c r="F82" s="8">
        <f t="shared" ref="F82" si="492">E81</f>
        <v>5848.2</v>
      </c>
      <c r="G82" s="136">
        <f t="shared" ref="G82:G84" si="493">E82-F82</f>
        <v>309.5</v>
      </c>
      <c r="H82" s="136">
        <f t="shared" si="236"/>
        <v>1</v>
      </c>
      <c r="I82" s="136">
        <f t="shared" ref="I82:I84" si="494">G82*H82</f>
        <v>309.5</v>
      </c>
      <c r="J82" s="8">
        <v>21267.7</v>
      </c>
      <c r="K82" s="8">
        <f t="shared" ref="K82" si="495">J81</f>
        <v>21267.7</v>
      </c>
      <c r="L82" s="136">
        <f t="shared" ref="L82:L84" si="496">J82-K82</f>
        <v>0</v>
      </c>
      <c r="M82" s="136">
        <f t="shared" si="256"/>
        <v>1</v>
      </c>
      <c r="N82" s="136">
        <f t="shared" ref="N82:N84" si="497">L82*M82</f>
        <v>0</v>
      </c>
      <c r="O82" s="136">
        <f t="shared" ref="O82:O84" si="498">N82-I82</f>
        <v>-309.5</v>
      </c>
      <c r="P82" s="8">
        <v>24397.5</v>
      </c>
      <c r="Q82" s="8">
        <f t="shared" ref="Q82" si="499">P81</f>
        <v>24397.5</v>
      </c>
      <c r="R82" s="138">
        <f t="shared" ref="R82:R84" si="500">P82-Q82</f>
        <v>0</v>
      </c>
      <c r="S82" s="136">
        <f t="shared" si="237"/>
        <v>1</v>
      </c>
      <c r="T82" s="138">
        <f t="shared" ref="T82:T84" si="501">R82*S82</f>
        <v>0</v>
      </c>
      <c r="U82" s="8"/>
      <c r="V82" s="8"/>
    </row>
    <row r="83" spans="1:22" ht="15.75" x14ac:dyDescent="0.25">
      <c r="A83" s="121">
        <v>64</v>
      </c>
      <c r="B83" s="116" t="s">
        <v>310</v>
      </c>
      <c r="C83" s="144" t="s">
        <v>197</v>
      </c>
      <c r="D83" s="8" t="s">
        <v>32</v>
      </c>
      <c r="E83" s="8">
        <v>6441.1</v>
      </c>
      <c r="F83" s="8">
        <f t="shared" ref="F83" si="502">E81</f>
        <v>5848.2</v>
      </c>
      <c r="G83" s="145">
        <f t="shared" si="493"/>
        <v>592.90000000000055</v>
      </c>
      <c r="H83" s="145">
        <f>H80</f>
        <v>1</v>
      </c>
      <c r="I83" s="145">
        <f t="shared" si="494"/>
        <v>592.90000000000055</v>
      </c>
      <c r="J83" s="8">
        <v>21268.400000000001</v>
      </c>
      <c r="K83" s="8">
        <f t="shared" ref="K83" si="503">J81</f>
        <v>21267.7</v>
      </c>
      <c r="L83" s="145">
        <f t="shared" si="496"/>
        <v>0.7000000000007276</v>
      </c>
      <c r="M83" s="145">
        <f>M80</f>
        <v>1</v>
      </c>
      <c r="N83" s="145">
        <f t="shared" si="497"/>
        <v>0.7000000000007276</v>
      </c>
      <c r="O83" s="145">
        <f t="shared" si="498"/>
        <v>-592.19999999999982</v>
      </c>
      <c r="P83" s="8">
        <v>24397.5</v>
      </c>
      <c r="Q83" s="8">
        <f t="shared" ref="Q83" si="504">P81</f>
        <v>24397.5</v>
      </c>
      <c r="R83" s="144">
        <f t="shared" si="500"/>
        <v>0</v>
      </c>
      <c r="S83" s="145">
        <f>S80</f>
        <v>1</v>
      </c>
      <c r="T83" s="144">
        <f t="shared" si="501"/>
        <v>0</v>
      </c>
      <c r="U83" s="8">
        <v>2</v>
      </c>
      <c r="V83" s="8">
        <v>0.9</v>
      </c>
    </row>
    <row r="84" spans="1:22" ht="15.75" x14ac:dyDescent="0.25">
      <c r="A84" s="121">
        <v>65</v>
      </c>
      <c r="B84" s="116" t="s">
        <v>316</v>
      </c>
      <c r="C84" s="149" t="s">
        <v>197</v>
      </c>
      <c r="D84" s="8" t="s">
        <v>32</v>
      </c>
      <c r="E84" s="8">
        <v>6697.2</v>
      </c>
      <c r="F84" s="8">
        <v>6441.1</v>
      </c>
      <c r="G84" s="150">
        <f t="shared" si="493"/>
        <v>256.09999999999945</v>
      </c>
      <c r="H84" s="150">
        <f>H80</f>
        <v>1</v>
      </c>
      <c r="I84" s="150">
        <f t="shared" si="494"/>
        <v>256.09999999999945</v>
      </c>
      <c r="J84" s="8">
        <v>21270</v>
      </c>
      <c r="K84" s="8">
        <v>21268.400000000001</v>
      </c>
      <c r="L84" s="150">
        <f t="shared" si="496"/>
        <v>1.5999999999985448</v>
      </c>
      <c r="M84" s="150">
        <f>M80</f>
        <v>1</v>
      </c>
      <c r="N84" s="150">
        <f t="shared" si="497"/>
        <v>1.5999999999985448</v>
      </c>
      <c r="O84" s="150">
        <f t="shared" si="498"/>
        <v>-254.50000000000091</v>
      </c>
      <c r="P84" s="8">
        <v>24397.5</v>
      </c>
      <c r="Q84" s="8">
        <v>24397.5</v>
      </c>
      <c r="R84" s="149">
        <f t="shared" si="500"/>
        <v>0</v>
      </c>
      <c r="S84" s="150">
        <f>S80</f>
        <v>1</v>
      </c>
      <c r="T84" s="149">
        <f t="shared" si="501"/>
        <v>0</v>
      </c>
      <c r="U84" s="8">
        <v>2</v>
      </c>
      <c r="V84" s="8">
        <v>0.9</v>
      </c>
    </row>
    <row r="85" spans="1:22" ht="15.75" x14ac:dyDescent="0.25">
      <c r="A85" s="121">
        <v>65</v>
      </c>
      <c r="B85" s="116" t="s">
        <v>319</v>
      </c>
      <c r="C85" s="142" t="s">
        <v>197</v>
      </c>
      <c r="D85" s="8" t="s">
        <v>32</v>
      </c>
      <c r="E85" s="8">
        <v>6804.1</v>
      </c>
      <c r="F85" s="8">
        <v>6697.2</v>
      </c>
      <c r="G85" s="140">
        <f t="shared" ref="G85:G87" si="505">E85-F85</f>
        <v>106.90000000000055</v>
      </c>
      <c r="H85" s="140">
        <f>H81</f>
        <v>1</v>
      </c>
      <c r="I85" s="140">
        <f t="shared" ref="I85:I87" si="506">G85*H85</f>
        <v>106.90000000000055</v>
      </c>
      <c r="J85" s="8">
        <v>21274</v>
      </c>
      <c r="K85" s="8">
        <v>21270</v>
      </c>
      <c r="L85" s="140">
        <f t="shared" ref="L85:L87" si="507">J85-K85</f>
        <v>4</v>
      </c>
      <c r="M85" s="140">
        <f>M81</f>
        <v>1</v>
      </c>
      <c r="N85" s="140">
        <f t="shared" ref="N85:N87" si="508">L85*M85</f>
        <v>4</v>
      </c>
      <c r="O85" s="140">
        <f t="shared" ref="O85:O87" si="509">N85-I85</f>
        <v>-102.90000000000055</v>
      </c>
      <c r="P85" s="8">
        <v>24397.5</v>
      </c>
      <c r="Q85" s="8">
        <v>24397.5</v>
      </c>
      <c r="R85" s="142">
        <f t="shared" ref="R85:R87" si="510">P85-Q85</f>
        <v>0</v>
      </c>
      <c r="S85" s="140">
        <f>S81</f>
        <v>1</v>
      </c>
      <c r="T85" s="142">
        <f t="shared" ref="T85:T87" si="511">R85*S85</f>
        <v>0</v>
      </c>
      <c r="U85" s="8">
        <v>2</v>
      </c>
      <c r="V85" s="8">
        <v>0.9</v>
      </c>
    </row>
    <row r="86" spans="1:22" ht="15.75" x14ac:dyDescent="0.25">
      <c r="A86" s="165">
        <v>66</v>
      </c>
      <c r="B86" s="116" t="s">
        <v>321</v>
      </c>
      <c r="C86" s="168" t="s">
        <v>197</v>
      </c>
      <c r="D86" s="8" t="s">
        <v>32</v>
      </c>
      <c r="E86" s="8">
        <v>6898.2</v>
      </c>
      <c r="F86" s="8">
        <v>6804.1</v>
      </c>
      <c r="G86" s="169">
        <f t="shared" si="505"/>
        <v>94.099999999999454</v>
      </c>
      <c r="H86" s="169">
        <f>H81</f>
        <v>1</v>
      </c>
      <c r="I86" s="169">
        <f t="shared" si="506"/>
        <v>94.099999999999454</v>
      </c>
      <c r="J86" s="8">
        <v>21276.400000000001</v>
      </c>
      <c r="K86" s="8">
        <v>21274</v>
      </c>
      <c r="L86" s="169">
        <f t="shared" si="507"/>
        <v>2.4000000000014552</v>
      </c>
      <c r="M86" s="169">
        <f>M81</f>
        <v>1</v>
      </c>
      <c r="N86" s="169">
        <f t="shared" si="508"/>
        <v>2.4000000000014552</v>
      </c>
      <c r="O86" s="169">
        <f t="shared" si="509"/>
        <v>-91.699999999997999</v>
      </c>
      <c r="P86" s="8">
        <v>24397.5</v>
      </c>
      <c r="Q86" s="8">
        <v>24397.5</v>
      </c>
      <c r="R86" s="168">
        <f t="shared" si="510"/>
        <v>0</v>
      </c>
      <c r="S86" s="169">
        <f>S81</f>
        <v>1</v>
      </c>
      <c r="T86" s="168">
        <f t="shared" si="511"/>
        <v>0</v>
      </c>
      <c r="U86" s="8">
        <v>2</v>
      </c>
      <c r="V86" s="8">
        <v>0.9</v>
      </c>
    </row>
    <row r="87" spans="1:22" ht="15.75" x14ac:dyDescent="0.25">
      <c r="A87" s="165">
        <v>67</v>
      </c>
      <c r="B87" s="116" t="s">
        <v>327</v>
      </c>
      <c r="C87" s="178" t="s">
        <v>197</v>
      </c>
      <c r="D87" s="8" t="s">
        <v>32</v>
      </c>
      <c r="E87" s="8">
        <v>7009.7</v>
      </c>
      <c r="F87" s="8">
        <v>6898.2</v>
      </c>
      <c r="G87" s="176">
        <f t="shared" si="505"/>
        <v>111.5</v>
      </c>
      <c r="H87" s="176">
        <f>H81</f>
        <v>1</v>
      </c>
      <c r="I87" s="176">
        <f t="shared" si="506"/>
        <v>111.5</v>
      </c>
      <c r="J87" s="8">
        <v>21277</v>
      </c>
      <c r="K87" s="8">
        <v>21276.400000000001</v>
      </c>
      <c r="L87" s="176">
        <f t="shared" si="507"/>
        <v>0.59999999999854481</v>
      </c>
      <c r="M87" s="176">
        <f>M81</f>
        <v>1</v>
      </c>
      <c r="N87" s="176">
        <f t="shared" si="508"/>
        <v>0.59999999999854481</v>
      </c>
      <c r="O87" s="176">
        <f t="shared" si="509"/>
        <v>-110.90000000000146</v>
      </c>
      <c r="P87" s="8">
        <v>24397.5</v>
      </c>
      <c r="Q87" s="8">
        <v>24397.5</v>
      </c>
      <c r="R87" s="178">
        <f t="shared" si="510"/>
        <v>0</v>
      </c>
      <c r="S87" s="176">
        <f>S81</f>
        <v>1</v>
      </c>
      <c r="T87" s="178">
        <f t="shared" si="511"/>
        <v>0</v>
      </c>
      <c r="U87" s="8">
        <v>2</v>
      </c>
      <c r="V87" s="8">
        <v>0.9</v>
      </c>
    </row>
    <row r="88" spans="1:22" ht="15.75" x14ac:dyDescent="0.25">
      <c r="A88" s="165">
        <v>68</v>
      </c>
      <c r="B88" s="116" t="s">
        <v>330</v>
      </c>
      <c r="C88" s="158" t="s">
        <v>197</v>
      </c>
      <c r="D88" s="8" t="s">
        <v>32</v>
      </c>
      <c r="E88" s="8">
        <v>7116.6</v>
      </c>
      <c r="F88" s="8">
        <v>7009.7</v>
      </c>
      <c r="G88" s="156">
        <f t="shared" ref="G88:G89" si="512">E88-F88</f>
        <v>106.90000000000055</v>
      </c>
      <c r="H88" s="156">
        <f>H82</f>
        <v>1</v>
      </c>
      <c r="I88" s="156">
        <f t="shared" ref="I88:I89" si="513">G88*H88</f>
        <v>106.90000000000055</v>
      </c>
      <c r="J88" s="8">
        <v>21278</v>
      </c>
      <c r="K88" s="8">
        <v>21277</v>
      </c>
      <c r="L88" s="156">
        <f t="shared" ref="L88:L89" si="514">J88-K88</f>
        <v>1</v>
      </c>
      <c r="M88" s="156">
        <f>M82</f>
        <v>1</v>
      </c>
      <c r="N88" s="156">
        <f t="shared" ref="N88:N89" si="515">L88*M88</f>
        <v>1</v>
      </c>
      <c r="O88" s="156">
        <f t="shared" ref="O88:O89" si="516">N88-I88</f>
        <v>-105.90000000000055</v>
      </c>
      <c r="P88" s="8">
        <v>24397.5</v>
      </c>
      <c r="Q88" s="8">
        <v>24397.5</v>
      </c>
      <c r="R88" s="158">
        <f t="shared" ref="R88:R89" si="517">P88-Q88</f>
        <v>0</v>
      </c>
      <c r="S88" s="156">
        <f>S82</f>
        <v>1</v>
      </c>
      <c r="T88" s="158">
        <f t="shared" ref="T88:T89" si="518">R88*S88</f>
        <v>0</v>
      </c>
      <c r="U88" s="8">
        <v>2</v>
      </c>
      <c r="V88" s="8">
        <v>0.9</v>
      </c>
    </row>
    <row r="89" spans="1:22" ht="15.75" x14ac:dyDescent="0.25">
      <c r="A89" s="165">
        <v>69</v>
      </c>
      <c r="B89" s="116" t="s">
        <v>331</v>
      </c>
      <c r="C89" s="186" t="s">
        <v>197</v>
      </c>
      <c r="D89" s="8" t="s">
        <v>32</v>
      </c>
      <c r="E89" s="8">
        <v>7241.6</v>
      </c>
      <c r="F89" s="8">
        <v>7116.6</v>
      </c>
      <c r="G89" s="184">
        <f t="shared" si="512"/>
        <v>125</v>
      </c>
      <c r="H89" s="184">
        <f>H82</f>
        <v>1</v>
      </c>
      <c r="I89" s="184">
        <f t="shared" si="513"/>
        <v>125</v>
      </c>
      <c r="J89" s="8">
        <v>21278.5</v>
      </c>
      <c r="K89" s="8">
        <v>21278</v>
      </c>
      <c r="L89" s="184">
        <f t="shared" si="514"/>
        <v>0.5</v>
      </c>
      <c r="M89" s="184">
        <f>M82</f>
        <v>1</v>
      </c>
      <c r="N89" s="184">
        <f t="shared" si="515"/>
        <v>0.5</v>
      </c>
      <c r="O89" s="184">
        <f t="shared" si="516"/>
        <v>-124.5</v>
      </c>
      <c r="P89" s="8">
        <v>24397.5</v>
      </c>
      <c r="Q89" s="8">
        <v>24397.5</v>
      </c>
      <c r="R89" s="186">
        <f t="shared" si="517"/>
        <v>0</v>
      </c>
      <c r="S89" s="184">
        <f>S82</f>
        <v>1</v>
      </c>
      <c r="T89" s="186">
        <f t="shared" si="518"/>
        <v>0</v>
      </c>
      <c r="U89" s="8">
        <v>2</v>
      </c>
      <c r="V89" s="8">
        <v>0.9</v>
      </c>
    </row>
    <row r="90" spans="1:22" ht="15.75" x14ac:dyDescent="0.25">
      <c r="A90" s="165">
        <v>70</v>
      </c>
      <c r="B90" s="116" t="s">
        <v>332</v>
      </c>
      <c r="C90" s="180" t="s">
        <v>197</v>
      </c>
      <c r="D90" s="8" t="s">
        <v>32</v>
      </c>
      <c r="E90" s="8">
        <v>7347.3</v>
      </c>
      <c r="F90" s="8">
        <v>7241.6</v>
      </c>
      <c r="G90" s="181">
        <f t="shared" ref="G90" si="519">E90-F90</f>
        <v>105.69999999999982</v>
      </c>
      <c r="H90" s="181">
        <f>H83</f>
        <v>1</v>
      </c>
      <c r="I90" s="181">
        <f t="shared" ref="I90" si="520">G90*H90</f>
        <v>105.69999999999982</v>
      </c>
      <c r="J90" s="8">
        <v>21280.5</v>
      </c>
      <c r="K90" s="8">
        <v>21278.5</v>
      </c>
      <c r="L90" s="181">
        <f t="shared" ref="L90" si="521">J90-K90</f>
        <v>2</v>
      </c>
      <c r="M90" s="181">
        <f>M83</f>
        <v>1</v>
      </c>
      <c r="N90" s="181">
        <f t="shared" ref="N90" si="522">L90*M90</f>
        <v>2</v>
      </c>
      <c r="O90" s="181">
        <f t="shared" ref="O90" si="523">N90-I90</f>
        <v>-103.69999999999982</v>
      </c>
      <c r="P90" s="8">
        <v>24397.5</v>
      </c>
      <c r="Q90" s="8">
        <v>24397.5</v>
      </c>
      <c r="R90" s="180">
        <f t="shared" ref="R90" si="524">P90-Q90</f>
        <v>0</v>
      </c>
      <c r="S90" s="181">
        <f>S83</f>
        <v>1</v>
      </c>
      <c r="T90" s="180">
        <f t="shared" ref="T90" si="525">R90*S90</f>
        <v>0</v>
      </c>
      <c r="U90" s="8">
        <v>2</v>
      </c>
      <c r="V90" s="8">
        <v>0.9</v>
      </c>
    </row>
    <row r="91" spans="1:22" s="3" customFormat="1" ht="15.75" x14ac:dyDescent="0.25">
      <c r="A91" s="88"/>
      <c r="B91" s="88"/>
      <c r="C91" s="88"/>
      <c r="D91" s="88"/>
      <c r="E91" s="88"/>
      <c r="F91" s="88"/>
      <c r="G91" s="88"/>
      <c r="H91" s="88" t="s">
        <v>121</v>
      </c>
      <c r="I91" s="164">
        <f>SUM(I80:I88)</f>
        <v>1790.6000000000004</v>
      </c>
      <c r="J91" s="88"/>
      <c r="K91" s="88"/>
      <c r="L91" s="88"/>
      <c r="M91" s="88"/>
      <c r="N91" s="164">
        <f>SUM(N80:N88)</f>
        <v>712.20000000000073</v>
      </c>
      <c r="O91" s="164">
        <f>SUM(O80:O88)</f>
        <v>-1078.3999999999996</v>
      </c>
      <c r="P91" s="88"/>
      <c r="Q91" s="88"/>
      <c r="R91" s="88"/>
      <c r="S91" s="88"/>
      <c r="T91" s="164">
        <f>SUM(T80:T88)</f>
        <v>743.90000000000146</v>
      </c>
      <c r="U91" s="88"/>
      <c r="V91" s="88"/>
    </row>
  </sheetData>
  <mergeCells count="28">
    <mergeCell ref="C7:C11"/>
    <mergeCell ref="D14:D25"/>
    <mergeCell ref="C14:C25"/>
    <mergeCell ref="D7:D11"/>
    <mergeCell ref="D28:D39"/>
    <mergeCell ref="C28:C39"/>
    <mergeCell ref="A1:V1"/>
    <mergeCell ref="A2:V2"/>
    <mergeCell ref="B3:C3"/>
    <mergeCell ref="E3:I3"/>
    <mergeCell ref="J3:L3"/>
    <mergeCell ref="M3:N3"/>
    <mergeCell ref="O3:U3"/>
    <mergeCell ref="A5:A6"/>
    <mergeCell ref="B5:B6"/>
    <mergeCell ref="C5:C6"/>
    <mergeCell ref="D5:D6"/>
    <mergeCell ref="E5:I5"/>
    <mergeCell ref="J5:N5"/>
    <mergeCell ref="O5:O6"/>
    <mergeCell ref="U5:U6"/>
    <mergeCell ref="V5:V6"/>
    <mergeCell ref="B4:C4"/>
    <mergeCell ref="E4:I4"/>
    <mergeCell ref="J4:L4"/>
    <mergeCell ref="M4:N4"/>
    <mergeCell ref="O4:U4"/>
    <mergeCell ref="P5:T5"/>
  </mergeCells>
  <printOptions horizontalCentered="1"/>
  <pageMargins left="0" right="0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Z91"/>
  <sheetViews>
    <sheetView topLeftCell="A67" zoomScale="85" zoomScaleNormal="85" workbookViewId="0">
      <selection activeCell="A90" sqref="A90"/>
    </sheetView>
  </sheetViews>
  <sheetFormatPr defaultRowHeight="15" x14ac:dyDescent="0.25"/>
  <cols>
    <col min="1" max="1" width="7.5703125" customWidth="1"/>
    <col min="2" max="2" width="13" customWidth="1"/>
    <col min="3" max="3" width="10.710937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1" width="8.570312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2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1:22" ht="15.75" x14ac:dyDescent="0.25">
      <c r="A2" s="208" t="s">
        <v>46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2" ht="33.75" customHeight="1" x14ac:dyDescent="0.25">
      <c r="A3" s="12" t="s">
        <v>5</v>
      </c>
      <c r="B3" s="207" t="s">
        <v>47</v>
      </c>
      <c r="C3" s="207"/>
      <c r="D3" s="12" t="s">
        <v>6</v>
      </c>
      <c r="E3" s="201" t="s">
        <v>45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53</v>
      </c>
    </row>
    <row r="4" spans="1:22" ht="15.75" x14ac:dyDescent="0.25">
      <c r="A4" s="12" t="s">
        <v>0</v>
      </c>
      <c r="B4" s="216" t="s">
        <v>60</v>
      </c>
      <c r="C4" s="216"/>
      <c r="D4" s="12" t="s">
        <v>9</v>
      </c>
      <c r="E4" s="207">
        <v>9008200973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6" t="s">
        <v>53</v>
      </c>
    </row>
    <row r="5" spans="1:22" ht="15.75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201" t="s">
        <v>17</v>
      </c>
      <c r="V5" s="201" t="s">
        <v>17</v>
      </c>
    </row>
    <row r="6" spans="1:22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201"/>
      <c r="V6" s="201"/>
    </row>
    <row r="7" spans="1:22" ht="15.75" x14ac:dyDescent="0.25">
      <c r="A7" s="12">
        <v>1</v>
      </c>
      <c r="B7" s="22" t="s">
        <v>55</v>
      </c>
      <c r="C7" s="193" t="s">
        <v>198</v>
      </c>
      <c r="D7" s="193" t="s">
        <v>44</v>
      </c>
      <c r="E7" s="17">
        <v>465.1</v>
      </c>
      <c r="F7" s="17">
        <v>15.3</v>
      </c>
      <c r="G7" s="19">
        <f t="shared" ref="G7:G8" si="0">E7-F7</f>
        <v>449.8</v>
      </c>
      <c r="H7" s="17">
        <v>1</v>
      </c>
      <c r="I7" s="19">
        <f t="shared" ref="I7:I8" si="1">G7*H7</f>
        <v>449.8</v>
      </c>
      <c r="J7" s="17">
        <v>150.6</v>
      </c>
      <c r="K7" s="17">
        <v>2.2999999999999998</v>
      </c>
      <c r="L7" s="19">
        <f t="shared" ref="L7" si="2">J7-K7</f>
        <v>148.29999999999998</v>
      </c>
      <c r="M7" s="17">
        <v>1</v>
      </c>
      <c r="N7" s="19">
        <f>L7*M7</f>
        <v>148.29999999999998</v>
      </c>
      <c r="O7" s="35">
        <f>N7-I7</f>
        <v>-301.5</v>
      </c>
      <c r="P7" s="17">
        <v>17327</v>
      </c>
      <c r="Q7" s="17">
        <v>17152</v>
      </c>
      <c r="R7" s="19">
        <f t="shared" ref="R7" si="3">P7-Q7</f>
        <v>175</v>
      </c>
      <c r="S7" s="17">
        <v>1</v>
      </c>
      <c r="T7" s="19">
        <f t="shared" ref="T7" si="4">R7*S7</f>
        <v>175</v>
      </c>
      <c r="U7" s="17"/>
      <c r="V7" s="17"/>
    </row>
    <row r="8" spans="1:22" ht="15.75" x14ac:dyDescent="0.25">
      <c r="A8" s="12">
        <v>2</v>
      </c>
      <c r="B8" s="22" t="s">
        <v>26</v>
      </c>
      <c r="C8" s="194"/>
      <c r="D8" s="194"/>
      <c r="E8" s="17">
        <v>856.2</v>
      </c>
      <c r="F8" s="17">
        <f>E7</f>
        <v>465.1</v>
      </c>
      <c r="G8" s="19">
        <f t="shared" si="0"/>
        <v>391.1</v>
      </c>
      <c r="H8" s="17">
        <v>1</v>
      </c>
      <c r="I8" s="19">
        <f t="shared" si="1"/>
        <v>391.1</v>
      </c>
      <c r="J8" s="17">
        <v>371.4</v>
      </c>
      <c r="K8" s="17">
        <f>J7</f>
        <v>150.6</v>
      </c>
      <c r="L8" s="19">
        <f t="shared" ref="L8:L15" si="5">J8-K8</f>
        <v>220.79999999999998</v>
      </c>
      <c r="M8" s="17">
        <v>1</v>
      </c>
      <c r="N8" s="19">
        <f>L8*M8</f>
        <v>220.79999999999998</v>
      </c>
      <c r="O8" s="35">
        <f>N8-I8</f>
        <v>-170.30000000000004</v>
      </c>
      <c r="P8" s="17">
        <v>17550</v>
      </c>
      <c r="Q8" s="17">
        <f t="shared" ref="Q8:Q9" si="6">P7</f>
        <v>17327</v>
      </c>
      <c r="R8" s="19">
        <f t="shared" ref="R8:R9" si="7">P8-Q8</f>
        <v>223</v>
      </c>
      <c r="S8" s="17">
        <v>1</v>
      </c>
      <c r="T8" s="19">
        <f t="shared" ref="T8:T9" si="8">R8*S8</f>
        <v>223</v>
      </c>
      <c r="U8" s="17"/>
      <c r="V8" s="17"/>
    </row>
    <row r="9" spans="1:22" ht="15.75" x14ac:dyDescent="0.25">
      <c r="A9" s="12">
        <v>3</v>
      </c>
      <c r="B9" s="22" t="s">
        <v>27</v>
      </c>
      <c r="C9" s="194"/>
      <c r="D9" s="194"/>
      <c r="E9" s="17">
        <v>1268.5</v>
      </c>
      <c r="F9" s="17">
        <f>E8</f>
        <v>856.2</v>
      </c>
      <c r="G9" s="19">
        <f t="shared" ref="G9:G15" si="9">E9-F9</f>
        <v>412.29999999999995</v>
      </c>
      <c r="H9" s="17">
        <v>1</v>
      </c>
      <c r="I9" s="19">
        <f>G9*H9</f>
        <v>412.29999999999995</v>
      </c>
      <c r="J9" s="17">
        <v>540.6</v>
      </c>
      <c r="K9" s="17">
        <f>J8</f>
        <v>371.4</v>
      </c>
      <c r="L9" s="19">
        <f t="shared" si="5"/>
        <v>169.20000000000005</v>
      </c>
      <c r="M9" s="17">
        <v>1</v>
      </c>
      <c r="N9" s="19">
        <f>L9*M9</f>
        <v>169.20000000000005</v>
      </c>
      <c r="O9" s="35">
        <f>N9-I9</f>
        <v>-243.09999999999991</v>
      </c>
      <c r="P9" s="17">
        <v>17721</v>
      </c>
      <c r="Q9" s="17">
        <f t="shared" si="6"/>
        <v>17550</v>
      </c>
      <c r="R9" s="19">
        <f t="shared" si="7"/>
        <v>171</v>
      </c>
      <c r="S9" s="17">
        <v>1</v>
      </c>
      <c r="T9" s="19">
        <f t="shared" si="8"/>
        <v>171</v>
      </c>
      <c r="U9" s="17"/>
      <c r="V9" s="17"/>
    </row>
    <row r="10" spans="1:22" ht="15.75" x14ac:dyDescent="0.25">
      <c r="A10" s="12">
        <v>4</v>
      </c>
      <c r="B10" s="22" t="s">
        <v>28</v>
      </c>
      <c r="C10" s="194"/>
      <c r="D10" s="194"/>
      <c r="E10" s="17">
        <v>1702.1</v>
      </c>
      <c r="F10" s="17">
        <f t="shared" ref="F10:F15" si="10">E9</f>
        <v>1268.5</v>
      </c>
      <c r="G10" s="19">
        <f t="shared" si="9"/>
        <v>433.59999999999991</v>
      </c>
      <c r="H10" s="17">
        <v>1</v>
      </c>
      <c r="I10" s="19">
        <f t="shared" ref="I10:I15" si="11">G10*H10</f>
        <v>433.59999999999991</v>
      </c>
      <c r="J10" s="17">
        <v>750.9</v>
      </c>
      <c r="K10" s="17">
        <f t="shared" ref="K10:K15" si="12">J9</f>
        <v>540.6</v>
      </c>
      <c r="L10" s="19">
        <f t="shared" si="5"/>
        <v>210.29999999999995</v>
      </c>
      <c r="M10" s="17">
        <v>1</v>
      </c>
      <c r="N10" s="19">
        <f t="shared" ref="N10:N15" si="13">L10*M10</f>
        <v>210.29999999999995</v>
      </c>
      <c r="O10" s="35">
        <f t="shared" ref="O10:O11" si="14">N10-I10</f>
        <v>-223.29999999999995</v>
      </c>
      <c r="P10" s="17">
        <v>17940</v>
      </c>
      <c r="Q10" s="17">
        <f t="shared" ref="Q10:Q17" si="15">P9</f>
        <v>17721</v>
      </c>
      <c r="R10" s="19">
        <f t="shared" ref="R10:R17" si="16">P10-Q10</f>
        <v>219</v>
      </c>
      <c r="S10" s="17">
        <v>1</v>
      </c>
      <c r="T10" s="19">
        <f t="shared" ref="T10:T17" si="17">R10*S10</f>
        <v>219</v>
      </c>
      <c r="U10" s="17"/>
      <c r="V10" s="17"/>
    </row>
    <row r="11" spans="1:22" ht="15.75" x14ac:dyDescent="0.25">
      <c r="A11" s="12">
        <v>5</v>
      </c>
      <c r="B11" s="22" t="s">
        <v>29</v>
      </c>
      <c r="C11" s="195"/>
      <c r="D11" s="195"/>
      <c r="E11" s="17">
        <v>2235.6</v>
      </c>
      <c r="F11" s="17">
        <f t="shared" si="10"/>
        <v>1702.1</v>
      </c>
      <c r="G11" s="19">
        <f t="shared" si="9"/>
        <v>533.5</v>
      </c>
      <c r="H11" s="17">
        <v>1</v>
      </c>
      <c r="I11" s="19">
        <f t="shared" si="11"/>
        <v>533.5</v>
      </c>
      <c r="J11" s="17">
        <v>981.5</v>
      </c>
      <c r="K11" s="17">
        <f t="shared" si="12"/>
        <v>750.9</v>
      </c>
      <c r="L11" s="19">
        <f t="shared" si="5"/>
        <v>230.60000000000002</v>
      </c>
      <c r="M11" s="17">
        <v>1</v>
      </c>
      <c r="N11" s="19">
        <f t="shared" si="13"/>
        <v>230.60000000000002</v>
      </c>
      <c r="O11" s="35">
        <f t="shared" si="14"/>
        <v>-302.89999999999998</v>
      </c>
      <c r="P11" s="17">
        <v>18172</v>
      </c>
      <c r="Q11" s="17">
        <f>P10</f>
        <v>17940</v>
      </c>
      <c r="R11" s="19">
        <f t="shared" si="16"/>
        <v>232</v>
      </c>
      <c r="S11" s="17">
        <v>1</v>
      </c>
      <c r="T11" s="19">
        <f t="shared" si="17"/>
        <v>232</v>
      </c>
      <c r="U11" s="17"/>
      <c r="V11" s="17"/>
    </row>
    <row r="12" spans="1:22" ht="15.75" x14ac:dyDescent="0.25">
      <c r="A12" s="12"/>
      <c r="B12" s="22" t="s">
        <v>121</v>
      </c>
      <c r="C12" s="19"/>
      <c r="D12" s="19"/>
      <c r="E12" s="17"/>
      <c r="F12" s="17"/>
      <c r="G12" s="19"/>
      <c r="H12" s="17"/>
      <c r="I12" s="12">
        <f>SUM(I7:I11)</f>
        <v>2220.3000000000002</v>
      </c>
      <c r="J12" s="17"/>
      <c r="K12" s="17"/>
      <c r="L12" s="12"/>
      <c r="M12" s="17"/>
      <c r="N12" s="12">
        <f t="shared" ref="N12:O12" si="18">SUM(N7:N11)</f>
        <v>979.19999999999993</v>
      </c>
      <c r="O12" s="12">
        <f t="shared" si="18"/>
        <v>-1241.0999999999999</v>
      </c>
      <c r="P12" s="17"/>
      <c r="Q12" s="17"/>
      <c r="R12" s="12"/>
      <c r="S12" s="17"/>
      <c r="T12" s="12">
        <f>SUM(T7:T11)</f>
        <v>1020</v>
      </c>
      <c r="U12" s="17"/>
      <c r="V12" s="17"/>
    </row>
    <row r="13" spans="1:22" ht="15.75" x14ac:dyDescent="0.25">
      <c r="A13" s="12"/>
      <c r="B13" s="22"/>
      <c r="C13" s="19"/>
      <c r="D13" s="19"/>
      <c r="E13" s="17"/>
      <c r="F13" s="17"/>
      <c r="G13" s="19"/>
      <c r="H13" s="17"/>
      <c r="I13" s="19"/>
      <c r="J13" s="17"/>
      <c r="K13" s="17"/>
      <c r="L13" s="19"/>
      <c r="M13" s="17"/>
      <c r="N13" s="19"/>
      <c r="O13" s="35"/>
      <c r="P13" s="17"/>
      <c r="Q13" s="17"/>
      <c r="R13" s="19"/>
      <c r="S13" s="17"/>
      <c r="T13" s="19"/>
      <c r="U13" s="17"/>
      <c r="V13" s="17"/>
    </row>
    <row r="14" spans="1:22" ht="15.75" x14ac:dyDescent="0.25">
      <c r="A14" s="12">
        <v>1</v>
      </c>
      <c r="B14" s="22" t="s">
        <v>30</v>
      </c>
      <c r="C14" s="193" t="s">
        <v>198</v>
      </c>
      <c r="D14" s="193" t="s">
        <v>44</v>
      </c>
      <c r="E14" s="17">
        <v>2657.9</v>
      </c>
      <c r="F14" s="17">
        <f>E11</f>
        <v>2235.6</v>
      </c>
      <c r="G14" s="19">
        <f t="shared" si="9"/>
        <v>422.30000000000018</v>
      </c>
      <c r="H14" s="17">
        <v>1</v>
      </c>
      <c r="I14" s="19">
        <f t="shared" si="11"/>
        <v>422.30000000000018</v>
      </c>
      <c r="J14" s="17">
        <v>1150</v>
      </c>
      <c r="K14" s="17">
        <f>J11</f>
        <v>981.5</v>
      </c>
      <c r="L14" s="19">
        <f t="shared" si="5"/>
        <v>168.5</v>
      </c>
      <c r="M14" s="17">
        <v>1</v>
      </c>
      <c r="N14" s="19">
        <f t="shared" si="13"/>
        <v>168.5</v>
      </c>
      <c r="O14" s="17">
        <f>N14-I14</f>
        <v>-253.80000000000018</v>
      </c>
      <c r="P14" s="17">
        <v>18344</v>
      </c>
      <c r="Q14" s="17">
        <f>P11</f>
        <v>18172</v>
      </c>
      <c r="R14" s="19">
        <f t="shared" si="16"/>
        <v>172</v>
      </c>
      <c r="S14" s="17">
        <v>1</v>
      </c>
      <c r="T14" s="19">
        <f t="shared" si="17"/>
        <v>172</v>
      </c>
      <c r="U14" s="17"/>
      <c r="V14" s="17"/>
    </row>
    <row r="15" spans="1:22" ht="15.75" x14ac:dyDescent="0.25">
      <c r="A15" s="12">
        <v>2</v>
      </c>
      <c r="B15" s="22" t="s">
        <v>31</v>
      </c>
      <c r="C15" s="194"/>
      <c r="D15" s="194"/>
      <c r="E15" s="12">
        <v>3015.1</v>
      </c>
      <c r="F15" s="17">
        <f t="shared" si="10"/>
        <v>2657.9</v>
      </c>
      <c r="G15" s="19">
        <f t="shared" si="9"/>
        <v>357.19999999999982</v>
      </c>
      <c r="H15" s="17">
        <v>1</v>
      </c>
      <c r="I15" s="19">
        <f t="shared" si="11"/>
        <v>357.19999999999982</v>
      </c>
      <c r="J15" s="12">
        <v>1358.4</v>
      </c>
      <c r="K15" s="17">
        <f t="shared" si="12"/>
        <v>1150</v>
      </c>
      <c r="L15" s="19">
        <f t="shared" si="5"/>
        <v>208.40000000000009</v>
      </c>
      <c r="M15" s="17">
        <v>1</v>
      </c>
      <c r="N15" s="19">
        <f t="shared" si="13"/>
        <v>208.40000000000009</v>
      </c>
      <c r="O15" s="17">
        <f t="shared" ref="O15:O17" si="19">N15-I15</f>
        <v>-148.79999999999973</v>
      </c>
      <c r="P15" s="12">
        <v>18592</v>
      </c>
      <c r="Q15" s="17">
        <f t="shared" si="15"/>
        <v>18344</v>
      </c>
      <c r="R15" s="19">
        <f t="shared" si="16"/>
        <v>248</v>
      </c>
      <c r="S15" s="17">
        <v>1</v>
      </c>
      <c r="T15" s="19">
        <f t="shared" si="17"/>
        <v>248</v>
      </c>
      <c r="U15" s="19"/>
      <c r="V15" s="19"/>
    </row>
    <row r="16" spans="1:22" ht="15.75" x14ac:dyDescent="0.25">
      <c r="A16" s="12">
        <v>3</v>
      </c>
      <c r="B16" s="22" t="s">
        <v>56</v>
      </c>
      <c r="C16" s="194"/>
      <c r="D16" s="194"/>
      <c r="E16" s="12">
        <v>3519.9</v>
      </c>
      <c r="F16" s="17">
        <f t="shared" ref="F16" si="20">E15</f>
        <v>3015.1</v>
      </c>
      <c r="G16" s="19">
        <f t="shared" ref="G16" si="21">E16-F16</f>
        <v>504.80000000000018</v>
      </c>
      <c r="H16" s="17">
        <v>1</v>
      </c>
      <c r="I16" s="19">
        <f t="shared" ref="I16" si="22">G16*H16</f>
        <v>504.80000000000018</v>
      </c>
      <c r="J16" s="12">
        <v>1636.7</v>
      </c>
      <c r="K16" s="17">
        <f t="shared" ref="K16" si="23">J15</f>
        <v>1358.4</v>
      </c>
      <c r="L16" s="19">
        <f t="shared" ref="L16" si="24">J16-K16</f>
        <v>278.29999999999995</v>
      </c>
      <c r="M16" s="17">
        <v>1</v>
      </c>
      <c r="N16" s="19">
        <f t="shared" ref="N16" si="25">L16*M16</f>
        <v>278.29999999999995</v>
      </c>
      <c r="O16" s="17">
        <f t="shared" si="19"/>
        <v>-226.50000000000023</v>
      </c>
      <c r="P16" s="12">
        <v>18887</v>
      </c>
      <c r="Q16" s="17">
        <f t="shared" si="15"/>
        <v>18592</v>
      </c>
      <c r="R16" s="19">
        <f t="shared" si="16"/>
        <v>295</v>
      </c>
      <c r="S16" s="17">
        <v>1</v>
      </c>
      <c r="T16" s="19">
        <f t="shared" si="17"/>
        <v>295</v>
      </c>
      <c r="U16" s="19"/>
      <c r="V16" s="19"/>
    </row>
    <row r="17" spans="1:22" ht="15.75" x14ac:dyDescent="0.25">
      <c r="A17" s="12">
        <v>4</v>
      </c>
      <c r="B17" s="22" t="s">
        <v>64</v>
      </c>
      <c r="C17" s="194"/>
      <c r="D17" s="194"/>
      <c r="E17" s="12">
        <v>4088</v>
      </c>
      <c r="F17" s="17">
        <f t="shared" ref="F17" si="26">E16</f>
        <v>3519.9</v>
      </c>
      <c r="G17" s="19">
        <f t="shared" ref="G17" si="27">E17-F17</f>
        <v>568.09999999999991</v>
      </c>
      <c r="H17" s="17">
        <v>1</v>
      </c>
      <c r="I17" s="19">
        <f t="shared" ref="I17" si="28">G17*H17</f>
        <v>568.09999999999991</v>
      </c>
      <c r="J17" s="12">
        <v>1820.3</v>
      </c>
      <c r="K17" s="17">
        <f t="shared" ref="K17" si="29">J16</f>
        <v>1636.7</v>
      </c>
      <c r="L17" s="19">
        <f t="shared" ref="L17" si="30">J17-K17</f>
        <v>183.59999999999991</v>
      </c>
      <c r="M17" s="17">
        <v>1</v>
      </c>
      <c r="N17" s="19">
        <f t="shared" ref="N17" si="31">L17*M17</f>
        <v>183.59999999999991</v>
      </c>
      <c r="O17" s="17">
        <f t="shared" si="19"/>
        <v>-384.5</v>
      </c>
      <c r="P17" s="12">
        <v>19080.599999999999</v>
      </c>
      <c r="Q17" s="17">
        <f t="shared" si="15"/>
        <v>18887</v>
      </c>
      <c r="R17" s="19">
        <f t="shared" si="16"/>
        <v>193.59999999999854</v>
      </c>
      <c r="S17" s="17">
        <v>1</v>
      </c>
      <c r="T17" s="19">
        <f t="shared" si="17"/>
        <v>193.59999999999854</v>
      </c>
      <c r="U17" s="19"/>
      <c r="V17" s="19"/>
    </row>
    <row r="18" spans="1:22" ht="15.75" x14ac:dyDescent="0.25">
      <c r="A18" s="12">
        <v>5</v>
      </c>
      <c r="B18" s="22" t="s">
        <v>103</v>
      </c>
      <c r="C18" s="194"/>
      <c r="D18" s="194"/>
      <c r="E18" s="12">
        <v>4717.2</v>
      </c>
      <c r="F18" s="17">
        <f t="shared" ref="F18" si="32">E17</f>
        <v>4088</v>
      </c>
      <c r="G18" s="19">
        <f t="shared" ref="G18" si="33">E18-F18</f>
        <v>629.19999999999982</v>
      </c>
      <c r="H18" s="17">
        <v>1</v>
      </c>
      <c r="I18" s="19">
        <f t="shared" ref="I18" si="34">G18*H18</f>
        <v>629.19999999999982</v>
      </c>
      <c r="J18" s="12">
        <v>1920</v>
      </c>
      <c r="K18" s="17">
        <f t="shared" ref="K18" si="35">J17</f>
        <v>1820.3</v>
      </c>
      <c r="L18" s="19">
        <f t="shared" ref="L18" si="36">J18-K18</f>
        <v>99.700000000000045</v>
      </c>
      <c r="M18" s="17">
        <v>1</v>
      </c>
      <c r="N18" s="19">
        <f t="shared" ref="N18" si="37">L18*M18</f>
        <v>99.700000000000045</v>
      </c>
      <c r="O18" s="17">
        <f t="shared" ref="O18:O19" si="38">N18-I18</f>
        <v>-529.49999999999977</v>
      </c>
      <c r="P18" s="12">
        <v>19202.5</v>
      </c>
      <c r="Q18" s="17">
        <f t="shared" ref="Q18" si="39">P17</f>
        <v>19080.599999999999</v>
      </c>
      <c r="R18" s="19">
        <f t="shared" ref="R18" si="40">P18-Q18</f>
        <v>121.90000000000146</v>
      </c>
      <c r="S18" s="17">
        <v>1</v>
      </c>
      <c r="T18" s="19">
        <f t="shared" ref="T18" si="41">R18*S18</f>
        <v>121.90000000000146</v>
      </c>
      <c r="U18" s="19"/>
      <c r="V18" s="19"/>
    </row>
    <row r="19" spans="1:22" ht="15.75" x14ac:dyDescent="0.25">
      <c r="A19" s="12">
        <v>6</v>
      </c>
      <c r="B19" s="22" t="s">
        <v>104</v>
      </c>
      <c r="C19" s="194"/>
      <c r="D19" s="194"/>
      <c r="E19" s="12">
        <v>5403.2</v>
      </c>
      <c r="F19" s="17">
        <f t="shared" ref="F19" si="42">E18</f>
        <v>4717.2</v>
      </c>
      <c r="G19" s="19">
        <f t="shared" ref="G19" si="43">E19-F19</f>
        <v>686</v>
      </c>
      <c r="H19" s="17">
        <v>1</v>
      </c>
      <c r="I19" s="19">
        <f t="shared" ref="I19" si="44">G19*H19</f>
        <v>686</v>
      </c>
      <c r="J19" s="12">
        <v>1920</v>
      </c>
      <c r="K19" s="17">
        <f t="shared" ref="K19" si="45">J18</f>
        <v>1920</v>
      </c>
      <c r="L19" s="19">
        <f t="shared" ref="L19" si="46">J19-K19</f>
        <v>0</v>
      </c>
      <c r="M19" s="17">
        <v>1</v>
      </c>
      <c r="N19" s="19">
        <f t="shared" ref="N19" si="47">L19*M19</f>
        <v>0</v>
      </c>
      <c r="O19" s="17">
        <f t="shared" si="38"/>
        <v>-686</v>
      </c>
      <c r="P19" s="12">
        <v>19203.599999999999</v>
      </c>
      <c r="Q19" s="17">
        <f t="shared" ref="Q19" si="48">P18</f>
        <v>19202.5</v>
      </c>
      <c r="R19" s="19">
        <f t="shared" ref="R19" si="49">P19-Q19</f>
        <v>1.0999999999985448</v>
      </c>
      <c r="S19" s="17">
        <v>1</v>
      </c>
      <c r="T19" s="19">
        <f t="shared" ref="T19" si="50">R19*S19</f>
        <v>1.0999999999985448</v>
      </c>
      <c r="U19" s="19"/>
      <c r="V19" s="19"/>
    </row>
    <row r="20" spans="1:22" ht="15.75" x14ac:dyDescent="0.25">
      <c r="A20" s="12">
        <v>7</v>
      </c>
      <c r="B20" s="22" t="s">
        <v>106</v>
      </c>
      <c r="C20" s="194"/>
      <c r="D20" s="194"/>
      <c r="E20" s="12">
        <v>5828.3</v>
      </c>
      <c r="F20" s="17">
        <f t="shared" ref="F20" si="51">E19</f>
        <v>5403.2</v>
      </c>
      <c r="G20" s="19">
        <f t="shared" ref="G20" si="52">E20-F20</f>
        <v>425.10000000000036</v>
      </c>
      <c r="H20" s="17">
        <v>1</v>
      </c>
      <c r="I20" s="19">
        <f t="shared" ref="I20" si="53">G20*H20</f>
        <v>425.10000000000036</v>
      </c>
      <c r="J20" s="12">
        <v>2039.9</v>
      </c>
      <c r="K20" s="17">
        <f t="shared" ref="K20" si="54">J19</f>
        <v>1920</v>
      </c>
      <c r="L20" s="19">
        <f t="shared" ref="L20" si="55">J20-K20</f>
        <v>119.90000000000009</v>
      </c>
      <c r="M20" s="17">
        <v>1</v>
      </c>
      <c r="N20" s="19">
        <f t="shared" ref="N20" si="56">L20*M20</f>
        <v>119.90000000000009</v>
      </c>
      <c r="O20" s="17">
        <f t="shared" ref="O20" si="57">N20-I20</f>
        <v>-305.20000000000027</v>
      </c>
      <c r="P20" s="12">
        <v>19398.400000000001</v>
      </c>
      <c r="Q20" s="17">
        <f t="shared" ref="Q20" si="58">P19</f>
        <v>19203.599999999999</v>
      </c>
      <c r="R20" s="19">
        <f t="shared" ref="R20" si="59">P20-Q20</f>
        <v>194.80000000000291</v>
      </c>
      <c r="S20" s="17">
        <v>1</v>
      </c>
      <c r="T20" s="19">
        <f t="shared" ref="T20" si="60">R20*S20</f>
        <v>194.80000000000291</v>
      </c>
      <c r="U20" s="19"/>
      <c r="V20" s="19"/>
    </row>
    <row r="21" spans="1:22" ht="15.75" x14ac:dyDescent="0.25">
      <c r="A21" s="12">
        <v>8</v>
      </c>
      <c r="B21" s="22" t="s">
        <v>107</v>
      </c>
      <c r="C21" s="194"/>
      <c r="D21" s="194"/>
      <c r="E21" s="12">
        <v>6430</v>
      </c>
      <c r="F21" s="17">
        <f t="shared" ref="F21" si="61">E20</f>
        <v>5828.3</v>
      </c>
      <c r="G21" s="19">
        <f t="shared" ref="G21" si="62">E21-F21</f>
        <v>601.69999999999982</v>
      </c>
      <c r="H21" s="17">
        <v>1</v>
      </c>
      <c r="I21" s="19">
        <f t="shared" ref="I21" si="63">G21*H21</f>
        <v>601.69999999999982</v>
      </c>
      <c r="J21" s="12">
        <v>2198.5</v>
      </c>
      <c r="K21" s="17">
        <f t="shared" ref="K21" si="64">J20</f>
        <v>2039.9</v>
      </c>
      <c r="L21" s="19">
        <f t="shared" ref="L21" si="65">J21-K21</f>
        <v>158.59999999999991</v>
      </c>
      <c r="M21" s="17">
        <v>1</v>
      </c>
      <c r="N21" s="19">
        <f t="shared" ref="N21" si="66">L21*M21</f>
        <v>158.59999999999991</v>
      </c>
      <c r="O21" s="17">
        <f t="shared" ref="O21" si="67">N21-I21</f>
        <v>-443.09999999999991</v>
      </c>
      <c r="P21" s="12">
        <v>19674.099999999999</v>
      </c>
      <c r="Q21" s="17">
        <f t="shared" ref="Q21" si="68">P20</f>
        <v>19398.400000000001</v>
      </c>
      <c r="R21" s="19">
        <f t="shared" ref="R21" si="69">P21-Q21</f>
        <v>275.69999999999709</v>
      </c>
      <c r="S21" s="17">
        <v>1</v>
      </c>
      <c r="T21" s="19">
        <f t="shared" ref="T21" si="70">R21*S21</f>
        <v>275.69999999999709</v>
      </c>
      <c r="U21" s="19"/>
      <c r="V21" s="19"/>
    </row>
    <row r="22" spans="1:22" ht="15.75" x14ac:dyDescent="0.25">
      <c r="A22" s="12">
        <v>9</v>
      </c>
      <c r="B22" s="22" t="s">
        <v>108</v>
      </c>
      <c r="C22" s="194"/>
      <c r="D22" s="194"/>
      <c r="E22" s="12">
        <v>7033.7</v>
      </c>
      <c r="F22" s="17">
        <f t="shared" ref="F22" si="71">E21</f>
        <v>6430</v>
      </c>
      <c r="G22" s="19">
        <f t="shared" ref="G22" si="72">E22-F22</f>
        <v>603.69999999999982</v>
      </c>
      <c r="H22" s="17">
        <v>1</v>
      </c>
      <c r="I22" s="19">
        <f t="shared" ref="I22" si="73">G22*H22</f>
        <v>603.69999999999982</v>
      </c>
      <c r="J22" s="12">
        <v>2346</v>
      </c>
      <c r="K22" s="17">
        <f t="shared" ref="K22" si="74">J21</f>
        <v>2198.5</v>
      </c>
      <c r="L22" s="19">
        <f t="shared" ref="L22" si="75">J22-K22</f>
        <v>147.5</v>
      </c>
      <c r="M22" s="17">
        <v>1</v>
      </c>
      <c r="N22" s="19">
        <f t="shared" ref="N22" si="76">L22*M22</f>
        <v>147.5</v>
      </c>
      <c r="O22" s="17">
        <f t="shared" ref="O22" si="77">N22-I22</f>
        <v>-456.19999999999982</v>
      </c>
      <c r="P22" s="12">
        <v>19856</v>
      </c>
      <c r="Q22" s="17">
        <f t="shared" ref="Q22:Q29" si="78">P21</f>
        <v>19674.099999999999</v>
      </c>
      <c r="R22" s="19">
        <f t="shared" ref="R22:R29" si="79">P22-Q22</f>
        <v>181.90000000000146</v>
      </c>
      <c r="S22" s="17">
        <v>1</v>
      </c>
      <c r="T22" s="19">
        <f t="shared" ref="T22" si="80">R22*S22</f>
        <v>181.90000000000146</v>
      </c>
      <c r="U22" s="19"/>
      <c r="V22" s="19"/>
    </row>
    <row r="23" spans="1:22" ht="15.75" x14ac:dyDescent="0.25">
      <c r="A23" s="12">
        <v>10</v>
      </c>
      <c r="B23" s="22" t="s">
        <v>109</v>
      </c>
      <c r="C23" s="194"/>
      <c r="D23" s="194"/>
      <c r="E23" s="12">
        <v>7600.7</v>
      </c>
      <c r="F23" s="17">
        <f t="shared" ref="F23" si="81">E22</f>
        <v>7033.7</v>
      </c>
      <c r="G23" s="19">
        <f t="shared" ref="G23" si="82">E23-F23</f>
        <v>567</v>
      </c>
      <c r="H23" s="17">
        <v>1</v>
      </c>
      <c r="I23" s="19">
        <f t="shared" ref="I23" si="83">G23*H23</f>
        <v>567</v>
      </c>
      <c r="J23" s="12">
        <v>2550.1999999999998</v>
      </c>
      <c r="K23" s="17">
        <f t="shared" ref="K23" si="84">J22</f>
        <v>2346</v>
      </c>
      <c r="L23" s="19">
        <f t="shared" ref="L23" si="85">J23-K23</f>
        <v>204.19999999999982</v>
      </c>
      <c r="M23" s="17">
        <v>1</v>
      </c>
      <c r="N23" s="19">
        <f t="shared" ref="N23" si="86">L23*M23</f>
        <v>204.19999999999982</v>
      </c>
      <c r="O23" s="17">
        <f t="shared" ref="O23" si="87">N23-I23</f>
        <v>-362.80000000000018</v>
      </c>
      <c r="P23" s="12">
        <v>20146.2</v>
      </c>
      <c r="Q23" s="17">
        <f t="shared" si="78"/>
        <v>19856</v>
      </c>
      <c r="R23" s="19">
        <f t="shared" si="79"/>
        <v>290.20000000000073</v>
      </c>
      <c r="S23" s="17">
        <v>1</v>
      </c>
      <c r="T23" s="19">
        <f t="shared" ref="T23" si="88">R23*S23</f>
        <v>290.20000000000073</v>
      </c>
      <c r="U23" s="19"/>
      <c r="V23" s="19"/>
    </row>
    <row r="24" spans="1:22" ht="15.75" x14ac:dyDescent="0.25">
      <c r="A24" s="12">
        <v>11</v>
      </c>
      <c r="B24" s="22" t="s">
        <v>111</v>
      </c>
      <c r="C24" s="194"/>
      <c r="D24" s="194"/>
      <c r="E24" s="12">
        <v>8070.2</v>
      </c>
      <c r="F24" s="17">
        <f t="shared" ref="F24" si="89">E23</f>
        <v>7600.7</v>
      </c>
      <c r="G24" s="19">
        <f t="shared" ref="G24" si="90">E24-F24</f>
        <v>469.5</v>
      </c>
      <c r="H24" s="17">
        <v>1</v>
      </c>
      <c r="I24" s="19">
        <f t="shared" ref="I24" si="91">G24*H24</f>
        <v>469.5</v>
      </c>
      <c r="J24" s="12">
        <v>2925.2</v>
      </c>
      <c r="K24" s="17">
        <f t="shared" ref="K24" si="92">J23</f>
        <v>2550.1999999999998</v>
      </c>
      <c r="L24" s="19">
        <f t="shared" ref="L24" si="93">J24-K24</f>
        <v>375</v>
      </c>
      <c r="M24" s="17">
        <v>1</v>
      </c>
      <c r="N24" s="19">
        <f t="shared" ref="N24" si="94">L24*M24</f>
        <v>375</v>
      </c>
      <c r="O24" s="17">
        <f t="shared" ref="O24" si="95">N24-I24</f>
        <v>-94.5</v>
      </c>
      <c r="P24" s="12">
        <v>20636.5</v>
      </c>
      <c r="Q24" s="17">
        <f t="shared" si="78"/>
        <v>20146.2</v>
      </c>
      <c r="R24" s="19">
        <f t="shared" si="79"/>
        <v>490.29999999999927</v>
      </c>
      <c r="S24" s="17">
        <v>1</v>
      </c>
      <c r="T24" s="19">
        <f t="shared" ref="T24" si="96">R24*S24</f>
        <v>490.29999999999927</v>
      </c>
      <c r="U24" s="19"/>
      <c r="V24" s="19"/>
    </row>
    <row r="25" spans="1:22" ht="15.75" x14ac:dyDescent="0.25">
      <c r="A25" s="12">
        <v>12</v>
      </c>
      <c r="B25" s="22" t="s">
        <v>117</v>
      </c>
      <c r="C25" s="195"/>
      <c r="D25" s="195"/>
      <c r="E25" s="12">
        <v>8494.5</v>
      </c>
      <c r="F25" s="17">
        <f t="shared" ref="F25" si="97">E24</f>
        <v>8070.2</v>
      </c>
      <c r="G25" s="19">
        <f t="shared" ref="G25" si="98">E25-F25</f>
        <v>424.30000000000018</v>
      </c>
      <c r="H25" s="17">
        <v>1</v>
      </c>
      <c r="I25" s="19">
        <f t="shared" ref="I25" si="99">G25*H25</f>
        <v>424.30000000000018</v>
      </c>
      <c r="J25" s="12">
        <v>3395.4</v>
      </c>
      <c r="K25" s="17">
        <f t="shared" ref="K25" si="100">J24</f>
        <v>2925.2</v>
      </c>
      <c r="L25" s="19">
        <f t="shared" ref="L25" si="101">J25-K25</f>
        <v>470.20000000000027</v>
      </c>
      <c r="M25" s="17">
        <v>1</v>
      </c>
      <c r="N25" s="19">
        <f t="shared" ref="N25" si="102">L25*M25</f>
        <v>470.20000000000027</v>
      </c>
      <c r="O25" s="17">
        <f t="shared" ref="O25" si="103">N25-I25</f>
        <v>45.900000000000091</v>
      </c>
      <c r="P25" s="12">
        <v>21186.9</v>
      </c>
      <c r="Q25" s="17">
        <f t="shared" si="78"/>
        <v>20636.5</v>
      </c>
      <c r="R25" s="19">
        <f t="shared" si="79"/>
        <v>550.40000000000146</v>
      </c>
      <c r="S25" s="17">
        <v>1</v>
      </c>
      <c r="T25" s="19">
        <f t="shared" ref="T25" si="104">R25*S25</f>
        <v>550.40000000000146</v>
      </c>
      <c r="U25" s="19"/>
      <c r="V25" s="19"/>
    </row>
    <row r="26" spans="1:22" ht="15.75" x14ac:dyDescent="0.25">
      <c r="A26" s="12"/>
      <c r="B26" s="22" t="s">
        <v>121</v>
      </c>
      <c r="C26" s="19"/>
      <c r="D26" s="19"/>
      <c r="E26" s="12"/>
      <c r="F26" s="17"/>
      <c r="G26" s="19"/>
      <c r="H26" s="17"/>
      <c r="I26" s="12">
        <f>SUM(I14:I25)</f>
        <v>6258.9</v>
      </c>
      <c r="J26" s="12"/>
      <c r="K26" s="17"/>
      <c r="L26" s="12"/>
      <c r="M26" s="17"/>
      <c r="N26" s="12">
        <f t="shared" ref="N26:O26" si="105">SUM(N14:N25)</f>
        <v>2413.9</v>
      </c>
      <c r="O26" s="12">
        <f t="shared" si="105"/>
        <v>-3845</v>
      </c>
      <c r="P26" s="12"/>
      <c r="Q26" s="17"/>
      <c r="R26" s="12"/>
      <c r="S26" s="17"/>
      <c r="T26" s="12">
        <f>SUM(T14:T25)</f>
        <v>3014.9000000000015</v>
      </c>
      <c r="U26" s="24"/>
      <c r="V26" s="24"/>
    </row>
    <row r="27" spans="1:22" ht="15.75" x14ac:dyDescent="0.25">
      <c r="A27" s="12"/>
      <c r="B27" s="22"/>
      <c r="C27" s="19"/>
      <c r="D27" s="19"/>
      <c r="E27" s="12"/>
      <c r="F27" s="17"/>
      <c r="G27" s="19"/>
      <c r="H27" s="17"/>
      <c r="I27" s="19"/>
      <c r="J27" s="12"/>
      <c r="K27" s="17"/>
      <c r="L27" s="19"/>
      <c r="M27" s="17"/>
      <c r="N27" s="19"/>
      <c r="O27" s="17"/>
      <c r="P27" s="12"/>
      <c r="Q27" s="17"/>
      <c r="R27" s="19"/>
      <c r="S27" s="17"/>
      <c r="T27" s="19"/>
      <c r="U27" s="24"/>
      <c r="V27" s="24"/>
    </row>
    <row r="28" spans="1:22" ht="15.75" x14ac:dyDescent="0.25">
      <c r="A28" s="12">
        <v>13</v>
      </c>
      <c r="B28" s="22" t="s">
        <v>118</v>
      </c>
      <c r="C28" s="196" t="s">
        <v>198</v>
      </c>
      <c r="D28" s="196" t="s">
        <v>32</v>
      </c>
      <c r="E28" s="12">
        <v>8622.2999999999993</v>
      </c>
      <c r="F28" s="17">
        <f t="shared" ref="F28" si="106">E25</f>
        <v>8494.5</v>
      </c>
      <c r="G28" s="19">
        <f t="shared" ref="G28" si="107">E28-F28</f>
        <v>127.79999999999927</v>
      </c>
      <c r="H28" s="17">
        <v>1</v>
      </c>
      <c r="I28" s="19">
        <f t="shared" ref="I28" si="108">G28*H28</f>
        <v>127.79999999999927</v>
      </c>
      <c r="J28" s="12">
        <v>3804.2</v>
      </c>
      <c r="K28" s="17">
        <f t="shared" ref="K28" si="109">J25</f>
        <v>3395.4</v>
      </c>
      <c r="L28" s="19">
        <f t="shared" ref="L28" si="110">J28-K28</f>
        <v>408.79999999999973</v>
      </c>
      <c r="M28" s="17">
        <v>1</v>
      </c>
      <c r="N28" s="19">
        <f t="shared" ref="N28" si="111">L28*M28</f>
        <v>408.79999999999973</v>
      </c>
      <c r="O28" s="17">
        <f t="shared" ref="O28" si="112">N28-I28</f>
        <v>281.00000000000045</v>
      </c>
      <c r="P28" s="12">
        <v>21544</v>
      </c>
      <c r="Q28" s="17">
        <f>P25</f>
        <v>21186.9</v>
      </c>
      <c r="R28" s="19">
        <f t="shared" si="79"/>
        <v>357.09999999999854</v>
      </c>
      <c r="S28" s="17">
        <v>1</v>
      </c>
      <c r="T28" s="19">
        <f t="shared" ref="T28" si="113">R28*S28</f>
        <v>357.09999999999854</v>
      </c>
      <c r="U28" s="19" t="s">
        <v>241</v>
      </c>
      <c r="V28" s="19" t="s">
        <v>242</v>
      </c>
    </row>
    <row r="29" spans="1:22" ht="15.75" x14ac:dyDescent="0.25">
      <c r="A29" s="12">
        <v>14</v>
      </c>
      <c r="B29" s="22" t="s">
        <v>119</v>
      </c>
      <c r="C29" s="196"/>
      <c r="D29" s="196"/>
      <c r="E29" s="12">
        <f>E28+125</f>
        <v>8747.2999999999993</v>
      </c>
      <c r="F29" s="17">
        <f t="shared" ref="F29" si="114">E28</f>
        <v>8622.2999999999993</v>
      </c>
      <c r="G29" s="19">
        <f t="shared" ref="G29" si="115">E29-F29</f>
        <v>125</v>
      </c>
      <c r="H29" s="17">
        <v>1</v>
      </c>
      <c r="I29" s="19">
        <f t="shared" ref="I29" si="116">G29*H29</f>
        <v>125</v>
      </c>
      <c r="J29" s="12">
        <f>J28+222</f>
        <v>4026.2</v>
      </c>
      <c r="K29" s="17">
        <f t="shared" ref="K29" si="117">J28</f>
        <v>3804.2</v>
      </c>
      <c r="L29" s="19">
        <f t="shared" ref="L29" si="118">J29-K29</f>
        <v>222</v>
      </c>
      <c r="M29" s="17">
        <v>1</v>
      </c>
      <c r="N29" s="19">
        <f t="shared" ref="N29" si="119">L29*M29</f>
        <v>222</v>
      </c>
      <c r="O29" s="17">
        <f t="shared" ref="O29" si="120">N29-I29</f>
        <v>97</v>
      </c>
      <c r="P29" s="12">
        <v>21919</v>
      </c>
      <c r="Q29" s="17">
        <f t="shared" si="78"/>
        <v>21544</v>
      </c>
      <c r="R29" s="19">
        <f t="shared" si="79"/>
        <v>375</v>
      </c>
      <c r="S29" s="17">
        <v>1</v>
      </c>
      <c r="T29" s="19">
        <f t="shared" ref="T29" si="121">R29*S29</f>
        <v>375</v>
      </c>
      <c r="U29" s="19"/>
      <c r="V29" s="19"/>
    </row>
    <row r="30" spans="1:22" ht="15.75" x14ac:dyDescent="0.25">
      <c r="A30" s="12">
        <v>15</v>
      </c>
      <c r="B30" s="22" t="s">
        <v>195</v>
      </c>
      <c r="C30" s="196"/>
      <c r="D30" s="196"/>
      <c r="E30" s="12">
        <v>9164.2999999999993</v>
      </c>
      <c r="F30" s="17">
        <f t="shared" ref="F30" si="122">E29</f>
        <v>8747.2999999999993</v>
      </c>
      <c r="G30" s="19">
        <f t="shared" ref="G30" si="123">E30-F30</f>
        <v>417</v>
      </c>
      <c r="H30" s="17">
        <v>1</v>
      </c>
      <c r="I30" s="19">
        <f t="shared" ref="I30" si="124">G30*H30</f>
        <v>417</v>
      </c>
      <c r="J30" s="12">
        <v>4309.3999999999996</v>
      </c>
      <c r="K30" s="17">
        <f t="shared" ref="K30" si="125">J29</f>
        <v>4026.2</v>
      </c>
      <c r="L30" s="19">
        <f t="shared" ref="L30" si="126">J30-K30</f>
        <v>283.19999999999982</v>
      </c>
      <c r="M30" s="17">
        <v>1</v>
      </c>
      <c r="N30" s="19">
        <f t="shared" ref="N30" si="127">L30*M30</f>
        <v>283.19999999999982</v>
      </c>
      <c r="O30" s="17">
        <f t="shared" ref="O30" si="128">N30-I30</f>
        <v>-133.80000000000018</v>
      </c>
      <c r="P30" s="12">
        <v>22303.3</v>
      </c>
      <c r="Q30" s="17">
        <f t="shared" ref="Q30" si="129">P29</f>
        <v>21919</v>
      </c>
      <c r="R30" s="19">
        <f t="shared" ref="R30" si="130">P30-Q30</f>
        <v>384.29999999999927</v>
      </c>
      <c r="S30" s="17">
        <v>1</v>
      </c>
      <c r="T30" s="19">
        <f t="shared" ref="T30" si="131">R30*S30</f>
        <v>384.29999999999927</v>
      </c>
      <c r="U30" s="19"/>
      <c r="V30" s="19"/>
    </row>
    <row r="31" spans="1:22" ht="15.75" x14ac:dyDescent="0.25">
      <c r="A31" s="12">
        <v>16</v>
      </c>
      <c r="B31" s="22" t="s">
        <v>203</v>
      </c>
      <c r="C31" s="196"/>
      <c r="D31" s="196"/>
      <c r="E31" s="12">
        <v>9778.4</v>
      </c>
      <c r="F31" s="17">
        <f t="shared" ref="F31" si="132">E30</f>
        <v>9164.2999999999993</v>
      </c>
      <c r="G31" s="19">
        <f t="shared" ref="G31" si="133">E31-F31</f>
        <v>614.10000000000036</v>
      </c>
      <c r="H31" s="17">
        <v>1</v>
      </c>
      <c r="I31" s="19">
        <f t="shared" ref="I31" si="134">G31*H31</f>
        <v>614.10000000000036</v>
      </c>
      <c r="J31" s="12">
        <v>4443.1000000000004</v>
      </c>
      <c r="K31" s="17">
        <f t="shared" ref="K31" si="135">J30</f>
        <v>4309.3999999999996</v>
      </c>
      <c r="L31" s="19">
        <f t="shared" ref="L31" si="136">J31-K31</f>
        <v>133.70000000000073</v>
      </c>
      <c r="M31" s="17">
        <v>1</v>
      </c>
      <c r="N31" s="19">
        <f t="shared" ref="N31" si="137">L31*M31</f>
        <v>133.70000000000073</v>
      </c>
      <c r="O31" s="17">
        <f t="shared" ref="O31" si="138">N31-I31</f>
        <v>-480.39999999999964</v>
      </c>
      <c r="P31" s="12">
        <v>22628.9</v>
      </c>
      <c r="Q31" s="17">
        <f t="shared" ref="Q31" si="139">P30</f>
        <v>22303.3</v>
      </c>
      <c r="R31" s="19">
        <f t="shared" ref="R31" si="140">P31-Q31</f>
        <v>325.60000000000218</v>
      </c>
      <c r="S31" s="17">
        <v>1</v>
      </c>
      <c r="T31" s="19">
        <f t="shared" ref="T31" si="141">R31*S31</f>
        <v>325.60000000000218</v>
      </c>
      <c r="U31" s="19"/>
      <c r="V31" s="19"/>
    </row>
    <row r="32" spans="1:22" ht="15.75" x14ac:dyDescent="0.25">
      <c r="A32" s="12">
        <v>17</v>
      </c>
      <c r="B32" s="22" t="s">
        <v>240</v>
      </c>
      <c r="C32" s="196"/>
      <c r="D32" s="196"/>
      <c r="E32" s="20">
        <v>10309.6</v>
      </c>
      <c r="F32" s="17">
        <f t="shared" ref="F32" si="142">E31</f>
        <v>9778.4</v>
      </c>
      <c r="G32" s="19">
        <f t="shared" ref="G32" si="143">E32-F32</f>
        <v>531.20000000000073</v>
      </c>
      <c r="H32" s="17">
        <v>1</v>
      </c>
      <c r="I32" s="19">
        <f t="shared" ref="I32" si="144">G32*H32</f>
        <v>531.20000000000073</v>
      </c>
      <c r="J32" s="66">
        <v>4612.7</v>
      </c>
      <c r="K32" s="17">
        <f t="shared" ref="K32" si="145">J31</f>
        <v>4443.1000000000004</v>
      </c>
      <c r="L32" s="19">
        <f t="shared" ref="L32" si="146">J32-K32</f>
        <v>169.59999999999945</v>
      </c>
      <c r="M32" s="17">
        <v>1</v>
      </c>
      <c r="N32" s="19">
        <f t="shared" ref="N32" si="147">L32*M32</f>
        <v>169.59999999999945</v>
      </c>
      <c r="O32" s="17">
        <f t="shared" ref="O32" si="148">N32-I32</f>
        <v>-361.60000000000127</v>
      </c>
      <c r="P32" s="66">
        <v>22929</v>
      </c>
      <c r="Q32" s="17">
        <f t="shared" ref="Q32" si="149">P31</f>
        <v>22628.9</v>
      </c>
      <c r="R32" s="19">
        <f t="shared" ref="R32" si="150">P32-Q32</f>
        <v>300.09999999999854</v>
      </c>
      <c r="S32" s="17">
        <v>1</v>
      </c>
      <c r="T32" s="19">
        <f t="shared" ref="T32" si="151">R32*S32</f>
        <v>300.09999999999854</v>
      </c>
      <c r="U32" s="66">
        <v>4.84</v>
      </c>
      <c r="V32" s="66">
        <v>0.97</v>
      </c>
    </row>
    <row r="33" spans="1:22" ht="15.75" x14ac:dyDescent="0.25">
      <c r="A33" s="12">
        <v>18</v>
      </c>
      <c r="B33" s="22" t="s">
        <v>244</v>
      </c>
      <c r="C33" s="196"/>
      <c r="D33" s="196"/>
      <c r="E33" s="20">
        <v>10915</v>
      </c>
      <c r="F33" s="17">
        <f t="shared" ref="F33" si="152">E32</f>
        <v>10309.6</v>
      </c>
      <c r="G33" s="19">
        <f t="shared" ref="G33" si="153">E33-F33</f>
        <v>605.39999999999964</v>
      </c>
      <c r="H33" s="17">
        <f t="shared" ref="H33:H39" si="154">H32</f>
        <v>1</v>
      </c>
      <c r="I33" s="19">
        <f t="shared" ref="I33" si="155">G33*H33</f>
        <v>605.39999999999964</v>
      </c>
      <c r="J33" s="8">
        <v>4846.5</v>
      </c>
      <c r="K33" s="17">
        <f t="shared" ref="K33" si="156">J32</f>
        <v>4612.7</v>
      </c>
      <c r="L33" s="19">
        <f t="shared" ref="L33" si="157">J33-K33</f>
        <v>233.80000000000018</v>
      </c>
      <c r="M33" s="17">
        <f t="shared" ref="M33:M39" si="158">M32</f>
        <v>1</v>
      </c>
      <c r="N33" s="19">
        <f t="shared" ref="N33" si="159">L33*M33</f>
        <v>233.80000000000018</v>
      </c>
      <c r="O33" s="17">
        <f t="shared" ref="O33" si="160">N33-I33</f>
        <v>-371.59999999999945</v>
      </c>
      <c r="P33" s="8">
        <v>23294.3</v>
      </c>
      <c r="Q33" s="17">
        <f t="shared" ref="Q33" si="161">P32</f>
        <v>22929</v>
      </c>
      <c r="R33" s="19">
        <f t="shared" ref="R33" si="162">P33-Q33</f>
        <v>365.29999999999927</v>
      </c>
      <c r="S33" s="17">
        <f t="shared" ref="S33:S39" si="163">S32</f>
        <v>1</v>
      </c>
      <c r="T33" s="19">
        <f t="shared" ref="T33" si="164">R33*S33</f>
        <v>365.29999999999927</v>
      </c>
      <c r="U33" s="8">
        <v>4.76</v>
      </c>
      <c r="V33" s="8">
        <v>0.98</v>
      </c>
    </row>
    <row r="34" spans="1:22" ht="15.75" x14ac:dyDescent="0.25">
      <c r="A34" s="12">
        <v>19</v>
      </c>
      <c r="B34" s="22" t="s">
        <v>245</v>
      </c>
      <c r="C34" s="196"/>
      <c r="D34" s="196"/>
      <c r="E34" s="12">
        <v>11075.8</v>
      </c>
      <c r="F34" s="17">
        <f t="shared" ref="F34" si="165">E33</f>
        <v>10915</v>
      </c>
      <c r="G34" s="19">
        <f t="shared" ref="G34" si="166">E34-F34</f>
        <v>160.79999999999927</v>
      </c>
      <c r="H34" s="17">
        <f t="shared" si="154"/>
        <v>1</v>
      </c>
      <c r="I34" s="19">
        <f t="shared" ref="I34" si="167">G34*H34</f>
        <v>160.79999999999927</v>
      </c>
      <c r="J34" s="12">
        <v>5182.7</v>
      </c>
      <c r="K34" s="17">
        <f t="shared" ref="K34:K35" si="168">J33</f>
        <v>4846.5</v>
      </c>
      <c r="L34" s="19">
        <f t="shared" ref="L34" si="169">J34-K34</f>
        <v>336.19999999999982</v>
      </c>
      <c r="M34" s="17">
        <f t="shared" si="158"/>
        <v>1</v>
      </c>
      <c r="N34" s="19">
        <f t="shared" ref="N34" si="170">L34*M34</f>
        <v>336.19999999999982</v>
      </c>
      <c r="O34" s="17">
        <f t="shared" ref="O34" si="171">N34-I34</f>
        <v>175.40000000000055</v>
      </c>
      <c r="P34" s="12">
        <v>23679.200000000001</v>
      </c>
      <c r="Q34" s="17">
        <f t="shared" ref="Q34" si="172">P33</f>
        <v>23294.3</v>
      </c>
      <c r="R34" s="19">
        <f t="shared" ref="R34" si="173">P34-Q34</f>
        <v>384.90000000000146</v>
      </c>
      <c r="S34" s="17">
        <f t="shared" si="163"/>
        <v>1</v>
      </c>
      <c r="T34" s="19">
        <f t="shared" ref="T34" si="174">R34*S34</f>
        <v>384.90000000000146</v>
      </c>
      <c r="U34" s="8">
        <v>3.94</v>
      </c>
      <c r="V34" s="8"/>
    </row>
    <row r="35" spans="1:22" ht="15.75" x14ac:dyDescent="0.25">
      <c r="A35" s="12">
        <v>20</v>
      </c>
      <c r="B35" s="22" t="s">
        <v>246</v>
      </c>
      <c r="C35" s="196"/>
      <c r="D35" s="196"/>
      <c r="E35" s="20">
        <v>11661.8</v>
      </c>
      <c r="F35" s="17">
        <f t="shared" ref="F35" si="175">E34</f>
        <v>11075.8</v>
      </c>
      <c r="G35" s="19">
        <f t="shared" ref="G35" si="176">E35-F35</f>
        <v>586</v>
      </c>
      <c r="H35" s="17">
        <f t="shared" si="154"/>
        <v>1</v>
      </c>
      <c r="I35" s="19">
        <f t="shared" ref="I35" si="177">G35*H35</f>
        <v>586</v>
      </c>
      <c r="J35" s="12">
        <v>5395</v>
      </c>
      <c r="K35" s="17">
        <f t="shared" si="168"/>
        <v>5182.7</v>
      </c>
      <c r="L35" s="19">
        <f t="shared" ref="L35" si="178">J35-K35</f>
        <v>212.30000000000018</v>
      </c>
      <c r="M35" s="17">
        <f t="shared" si="158"/>
        <v>1</v>
      </c>
      <c r="N35" s="19">
        <f t="shared" ref="N35" si="179">L35*M35</f>
        <v>212.30000000000018</v>
      </c>
      <c r="O35" s="17">
        <f t="shared" ref="O35" si="180">N35-I35</f>
        <v>-373.69999999999982</v>
      </c>
      <c r="P35" s="12">
        <v>23960</v>
      </c>
      <c r="Q35" s="17">
        <f t="shared" ref="Q35" si="181">P34</f>
        <v>23679.200000000001</v>
      </c>
      <c r="R35" s="19">
        <f t="shared" ref="R35" si="182">P35-Q35</f>
        <v>280.79999999999927</v>
      </c>
      <c r="S35" s="17">
        <f t="shared" si="163"/>
        <v>1</v>
      </c>
      <c r="T35" s="19">
        <f t="shared" ref="T35" si="183">R35*S35</f>
        <v>280.79999999999927</v>
      </c>
      <c r="U35" s="8"/>
      <c r="V35" s="8"/>
    </row>
    <row r="36" spans="1:22" ht="15.75" x14ac:dyDescent="0.25">
      <c r="A36" s="12">
        <v>21</v>
      </c>
      <c r="B36" s="22" t="s">
        <v>252</v>
      </c>
      <c r="C36" s="196"/>
      <c r="D36" s="196"/>
      <c r="E36" s="20">
        <v>12150</v>
      </c>
      <c r="F36" s="17">
        <f t="shared" ref="F36" si="184">E35</f>
        <v>11661.8</v>
      </c>
      <c r="G36" s="19">
        <f t="shared" ref="G36" si="185">E36-F36</f>
        <v>488.20000000000073</v>
      </c>
      <c r="H36" s="17">
        <f t="shared" si="154"/>
        <v>1</v>
      </c>
      <c r="I36" s="19">
        <f t="shared" ref="I36" si="186">G36*H36</f>
        <v>488.20000000000073</v>
      </c>
      <c r="J36" s="12">
        <v>5605</v>
      </c>
      <c r="K36" s="17">
        <f t="shared" ref="K36" si="187">J35</f>
        <v>5395</v>
      </c>
      <c r="L36" s="19">
        <f t="shared" ref="L36" si="188">J36-K36</f>
        <v>210</v>
      </c>
      <c r="M36" s="17">
        <f t="shared" si="158"/>
        <v>1</v>
      </c>
      <c r="N36" s="19">
        <f t="shared" ref="N36" si="189">L36*M36</f>
        <v>210</v>
      </c>
      <c r="O36" s="17">
        <f t="shared" ref="O36:O37" si="190">N36-I36</f>
        <v>-278.20000000000073</v>
      </c>
      <c r="P36" s="12">
        <v>24259</v>
      </c>
      <c r="Q36" s="17">
        <f t="shared" ref="Q36" si="191">P35</f>
        <v>23960</v>
      </c>
      <c r="R36" s="19">
        <f t="shared" ref="R36" si="192">P36-Q36</f>
        <v>299</v>
      </c>
      <c r="S36" s="17">
        <f t="shared" si="163"/>
        <v>1</v>
      </c>
      <c r="T36" s="19">
        <f t="shared" ref="T36" si="193">R36*S36</f>
        <v>299</v>
      </c>
      <c r="U36" s="8">
        <v>3.42</v>
      </c>
      <c r="V36" s="8">
        <v>0.99</v>
      </c>
    </row>
    <row r="37" spans="1:22" ht="15.75" x14ac:dyDescent="0.25">
      <c r="A37" s="12">
        <v>22</v>
      </c>
      <c r="B37" s="22" t="s">
        <v>253</v>
      </c>
      <c r="C37" s="196"/>
      <c r="D37" s="196"/>
      <c r="E37" s="8">
        <v>12719</v>
      </c>
      <c r="F37" s="17">
        <f t="shared" ref="F37" si="194">E36</f>
        <v>12150</v>
      </c>
      <c r="G37" s="19">
        <f t="shared" ref="G37" si="195">E37-F37</f>
        <v>569</v>
      </c>
      <c r="H37" s="17">
        <f t="shared" si="154"/>
        <v>1</v>
      </c>
      <c r="I37" s="19">
        <f t="shared" ref="I37" si="196">G37*H37</f>
        <v>569</v>
      </c>
      <c r="J37" s="8">
        <v>5694</v>
      </c>
      <c r="K37" s="17">
        <f t="shared" ref="K37" si="197">J36</f>
        <v>5605</v>
      </c>
      <c r="L37" s="19">
        <f t="shared" ref="L37" si="198">J37-K37</f>
        <v>89</v>
      </c>
      <c r="M37" s="17">
        <f t="shared" si="158"/>
        <v>1</v>
      </c>
      <c r="N37" s="19">
        <f t="shared" ref="N37" si="199">L37*M37</f>
        <v>89</v>
      </c>
      <c r="O37" s="17">
        <f t="shared" si="190"/>
        <v>-480</v>
      </c>
      <c r="P37" s="8">
        <v>24360</v>
      </c>
      <c r="Q37" s="17">
        <f t="shared" ref="Q37" si="200">P36</f>
        <v>24259</v>
      </c>
      <c r="R37" s="19">
        <f t="shared" ref="R37" si="201">P37-Q37</f>
        <v>101</v>
      </c>
      <c r="S37" s="17">
        <f t="shared" si="163"/>
        <v>1</v>
      </c>
      <c r="T37" s="19">
        <f t="shared" ref="T37" si="202">R37*S37</f>
        <v>101</v>
      </c>
      <c r="U37" s="8">
        <v>4.12</v>
      </c>
      <c r="V37" s="8">
        <v>0.93</v>
      </c>
    </row>
    <row r="38" spans="1:22" ht="15.75" x14ac:dyDescent="0.25">
      <c r="A38" s="12">
        <v>23</v>
      </c>
      <c r="B38" s="22" t="s">
        <v>254</v>
      </c>
      <c r="C38" s="196"/>
      <c r="D38" s="196"/>
      <c r="E38" s="8">
        <v>13259.8</v>
      </c>
      <c r="F38" s="17">
        <f t="shared" ref="F38" si="203">E37</f>
        <v>12719</v>
      </c>
      <c r="G38" s="19">
        <f t="shared" ref="G38" si="204">E38-F38</f>
        <v>540.79999999999927</v>
      </c>
      <c r="H38" s="17">
        <f t="shared" si="154"/>
        <v>1</v>
      </c>
      <c r="I38" s="19">
        <f t="shared" ref="I38" si="205">G38*H38</f>
        <v>540.79999999999927</v>
      </c>
      <c r="J38" s="8">
        <v>5694</v>
      </c>
      <c r="K38" s="17">
        <f t="shared" ref="K38" si="206">J37</f>
        <v>5694</v>
      </c>
      <c r="L38" s="19">
        <f t="shared" ref="L38" si="207">J38-K38</f>
        <v>0</v>
      </c>
      <c r="M38" s="17">
        <f t="shared" si="158"/>
        <v>1</v>
      </c>
      <c r="N38" s="19">
        <f t="shared" ref="N38" si="208">L38*M38</f>
        <v>0</v>
      </c>
      <c r="O38" s="17">
        <f t="shared" ref="O38" si="209">N38-I38</f>
        <v>-540.79999999999927</v>
      </c>
      <c r="P38" s="8">
        <v>24360</v>
      </c>
      <c r="Q38" s="17">
        <f t="shared" ref="Q38" si="210">P37</f>
        <v>24360</v>
      </c>
      <c r="R38" s="19">
        <f t="shared" ref="R38" si="211">P38-Q38</f>
        <v>0</v>
      </c>
      <c r="S38" s="17">
        <f t="shared" si="163"/>
        <v>1</v>
      </c>
      <c r="T38" s="19">
        <f t="shared" ref="T38" si="212">R38*S38</f>
        <v>0</v>
      </c>
      <c r="U38" s="8">
        <v>3.8</v>
      </c>
      <c r="V38" s="8">
        <v>0.91</v>
      </c>
    </row>
    <row r="39" spans="1:22" ht="15.75" x14ac:dyDescent="0.25">
      <c r="A39" s="12">
        <v>24</v>
      </c>
      <c r="B39" s="22" t="s">
        <v>258</v>
      </c>
      <c r="C39" s="196"/>
      <c r="D39" s="196"/>
      <c r="E39" s="8">
        <v>13469.8</v>
      </c>
      <c r="F39" s="17">
        <f t="shared" ref="F39" si="213">E38</f>
        <v>13259.8</v>
      </c>
      <c r="G39" s="19">
        <f t="shared" ref="G39" si="214">E39-F39</f>
        <v>210</v>
      </c>
      <c r="H39" s="17">
        <f t="shared" si="154"/>
        <v>1</v>
      </c>
      <c r="I39" s="19">
        <f t="shared" ref="I39" si="215">G39*H39</f>
        <v>210</v>
      </c>
      <c r="J39" s="8">
        <v>5694</v>
      </c>
      <c r="K39" s="17">
        <f t="shared" ref="K39" si="216">J38</f>
        <v>5694</v>
      </c>
      <c r="L39" s="19">
        <f t="shared" ref="L39" si="217">J39-K39</f>
        <v>0</v>
      </c>
      <c r="M39" s="17">
        <f t="shared" si="158"/>
        <v>1</v>
      </c>
      <c r="N39" s="19">
        <f t="shared" ref="N39" si="218">L39*M39</f>
        <v>0</v>
      </c>
      <c r="O39" s="17">
        <f t="shared" ref="O39" si="219">N39-I39</f>
        <v>-210</v>
      </c>
      <c r="P39" s="8">
        <v>24361</v>
      </c>
      <c r="Q39" s="17">
        <f t="shared" ref="Q39" si="220">P38</f>
        <v>24360</v>
      </c>
      <c r="R39" s="19">
        <f t="shared" ref="R39" si="221">P39-Q39</f>
        <v>1</v>
      </c>
      <c r="S39" s="17">
        <f t="shared" si="163"/>
        <v>1</v>
      </c>
      <c r="T39" s="19">
        <f t="shared" ref="T39" si="222">R39*S39</f>
        <v>1</v>
      </c>
      <c r="U39" s="8"/>
      <c r="V39" s="8"/>
    </row>
    <row r="40" spans="1:22" s="3" customFormat="1" x14ac:dyDescent="0.25">
      <c r="A40" s="88"/>
      <c r="B40" s="88"/>
      <c r="C40" s="88"/>
      <c r="D40" s="88"/>
      <c r="E40" s="88"/>
      <c r="F40" s="88"/>
      <c r="G40" s="88"/>
      <c r="H40" s="88" t="s">
        <v>121</v>
      </c>
      <c r="I40" s="88">
        <f>SUM(I28:I39)</f>
        <v>4975.2999999999993</v>
      </c>
      <c r="J40" s="88"/>
      <c r="K40" s="88"/>
      <c r="L40" s="88"/>
      <c r="M40" s="88"/>
      <c r="N40" s="88">
        <f t="shared" ref="N40:O40" si="223">SUM(N28:N39)</f>
        <v>2298.6</v>
      </c>
      <c r="O40" s="88">
        <f t="shared" si="223"/>
        <v>-2676.6999999999994</v>
      </c>
      <c r="P40" s="88"/>
      <c r="Q40" s="88"/>
      <c r="R40" s="88"/>
      <c r="S40" s="88"/>
      <c r="T40" s="88">
        <f>SUM(T28:T39)</f>
        <v>3174.0999999999985</v>
      </c>
      <c r="U40" s="88"/>
      <c r="V40" s="88"/>
    </row>
    <row r="41" spans="1:22" ht="15.75" x14ac:dyDescent="0.25">
      <c r="A41" s="12">
        <v>25</v>
      </c>
      <c r="B41" s="22" t="s">
        <v>259</v>
      </c>
      <c r="C41" s="19" t="s">
        <v>264</v>
      </c>
      <c r="D41" s="8" t="s">
        <v>32</v>
      </c>
      <c r="E41" s="8">
        <v>13640.1</v>
      </c>
      <c r="F41" s="8">
        <f>E39</f>
        <v>13469.8</v>
      </c>
      <c r="G41" s="17">
        <f t="shared" ref="G41" si="224">E41-F41</f>
        <v>170.30000000000109</v>
      </c>
      <c r="H41" s="17">
        <f>H38</f>
        <v>1</v>
      </c>
      <c r="I41" s="17">
        <f t="shared" ref="I41" si="225">G41*H41</f>
        <v>170.30000000000109</v>
      </c>
      <c r="J41" s="8">
        <v>5694</v>
      </c>
      <c r="K41" s="8">
        <f>J38</f>
        <v>5694</v>
      </c>
      <c r="L41" s="17">
        <f t="shared" ref="L41" si="226">J41-K41</f>
        <v>0</v>
      </c>
      <c r="M41" s="17">
        <f>M38</f>
        <v>1</v>
      </c>
      <c r="N41" s="17">
        <f t="shared" ref="N41" si="227">L41*M41</f>
        <v>0</v>
      </c>
      <c r="O41" s="17">
        <f t="shared" ref="O41" si="228">N41-I41</f>
        <v>-170.30000000000109</v>
      </c>
      <c r="P41" s="8">
        <v>24362.9</v>
      </c>
      <c r="Q41" s="17">
        <f>P39</f>
        <v>24361</v>
      </c>
      <c r="R41" s="19">
        <f t="shared" ref="R41" si="229">P41-Q41</f>
        <v>1.9000000000014552</v>
      </c>
      <c r="S41" s="17">
        <f>S38</f>
        <v>1</v>
      </c>
      <c r="T41" s="19">
        <f t="shared" ref="T41" si="230">R41*S41</f>
        <v>1.9000000000014552</v>
      </c>
      <c r="U41" s="8">
        <v>2.7</v>
      </c>
      <c r="V41" s="8">
        <v>1</v>
      </c>
    </row>
    <row r="42" spans="1:22" ht="15.75" x14ac:dyDescent="0.25">
      <c r="A42" s="21">
        <v>26</v>
      </c>
      <c r="B42" s="22" t="s">
        <v>263</v>
      </c>
      <c r="C42" s="19" t="s">
        <v>264</v>
      </c>
      <c r="D42" s="8" t="s">
        <v>32</v>
      </c>
      <c r="E42" s="8">
        <v>13720.7</v>
      </c>
      <c r="F42" s="8">
        <f t="shared" ref="F42:F47" si="231">E41</f>
        <v>13640.1</v>
      </c>
      <c r="G42" s="17">
        <f t="shared" ref="G42" si="232">E42-F42</f>
        <v>80.600000000000364</v>
      </c>
      <c r="H42" s="17">
        <f>H39</f>
        <v>1</v>
      </c>
      <c r="I42" s="17">
        <f t="shared" ref="I42" si="233">G42*H42</f>
        <v>80.600000000000364</v>
      </c>
      <c r="J42" s="8">
        <v>5694</v>
      </c>
      <c r="K42" s="8">
        <f t="shared" ref="K42:K47" si="234">J41</f>
        <v>5694</v>
      </c>
      <c r="L42" s="17">
        <f t="shared" ref="L42" si="235">J42-K42</f>
        <v>0</v>
      </c>
      <c r="M42" s="17">
        <f>M39</f>
        <v>1</v>
      </c>
      <c r="N42" s="17">
        <f t="shared" ref="N42" si="236">L42*M42</f>
        <v>0</v>
      </c>
      <c r="O42" s="17">
        <f t="shared" ref="O42" si="237">N42-I42</f>
        <v>-80.600000000000364</v>
      </c>
      <c r="P42" s="8">
        <v>24364</v>
      </c>
      <c r="Q42" s="17">
        <f>P41</f>
        <v>24362.9</v>
      </c>
      <c r="R42" s="19">
        <f t="shared" ref="R42" si="238">P42-Q42</f>
        <v>1.0999999999985448</v>
      </c>
      <c r="S42" s="17">
        <f>S39</f>
        <v>1</v>
      </c>
      <c r="T42" s="19">
        <f t="shared" ref="T42" si="239">R42*S42</f>
        <v>1.0999999999985448</v>
      </c>
      <c r="U42" s="8">
        <v>2.2000000000000002</v>
      </c>
      <c r="V42" s="8">
        <v>0.76</v>
      </c>
    </row>
    <row r="43" spans="1:22" ht="15.75" x14ac:dyDescent="0.25">
      <c r="A43" s="12">
        <v>27</v>
      </c>
      <c r="B43" s="22" t="s">
        <v>265</v>
      </c>
      <c r="C43" s="19" t="s">
        <v>264</v>
      </c>
      <c r="D43" s="8" t="s">
        <v>32</v>
      </c>
      <c r="E43" s="8">
        <v>13834.3</v>
      </c>
      <c r="F43" s="8">
        <f t="shared" si="231"/>
        <v>13720.7</v>
      </c>
      <c r="G43" s="17">
        <f t="shared" ref="G43" si="240">E43-F43</f>
        <v>113.59999999999854</v>
      </c>
      <c r="H43" s="17">
        <f t="shared" ref="H43:H82" si="241">H42</f>
        <v>1</v>
      </c>
      <c r="I43" s="17">
        <f t="shared" ref="I43" si="242">G43*H43</f>
        <v>113.59999999999854</v>
      </c>
      <c r="J43" s="8">
        <v>5694</v>
      </c>
      <c r="K43" s="8">
        <f t="shared" si="234"/>
        <v>5694</v>
      </c>
      <c r="L43" s="17">
        <f t="shared" ref="L43" si="243">J43-K43</f>
        <v>0</v>
      </c>
      <c r="M43" s="17">
        <f t="shared" ref="M43:M82" si="244">M42</f>
        <v>1</v>
      </c>
      <c r="N43" s="17">
        <f t="shared" ref="N43" si="245">L43*M43</f>
        <v>0</v>
      </c>
      <c r="O43" s="17">
        <f t="shared" ref="O43" si="246">N43-I43</f>
        <v>-113.59999999999854</v>
      </c>
      <c r="P43" s="8">
        <v>24364</v>
      </c>
      <c r="Q43" s="17">
        <f>P41</f>
        <v>24362.9</v>
      </c>
      <c r="R43" s="19">
        <f t="shared" ref="R43" si="247">P43-Q43</f>
        <v>1.0999999999985448</v>
      </c>
      <c r="S43" s="17">
        <f t="shared" ref="S43:S82" si="248">S42</f>
        <v>1</v>
      </c>
      <c r="T43" s="19">
        <f t="shared" ref="T43" si="249">R43*S43</f>
        <v>1.0999999999985448</v>
      </c>
      <c r="U43" s="8"/>
      <c r="V43" s="8"/>
    </row>
    <row r="44" spans="1:22" ht="15.75" x14ac:dyDescent="0.25">
      <c r="A44" s="12">
        <v>28</v>
      </c>
      <c r="B44" s="22" t="s">
        <v>266</v>
      </c>
      <c r="C44" s="19" t="s">
        <v>264</v>
      </c>
      <c r="D44" s="8" t="s">
        <v>32</v>
      </c>
      <c r="E44" s="8">
        <v>13920.9</v>
      </c>
      <c r="F44" s="8">
        <f t="shared" si="231"/>
        <v>13834.3</v>
      </c>
      <c r="G44" s="17">
        <f t="shared" ref="G44" si="250">E44-F44</f>
        <v>86.600000000000364</v>
      </c>
      <c r="H44" s="17">
        <f t="shared" si="241"/>
        <v>1</v>
      </c>
      <c r="I44" s="17">
        <f t="shared" ref="I44" si="251">G44*H44</f>
        <v>86.600000000000364</v>
      </c>
      <c r="J44" s="8">
        <v>5694</v>
      </c>
      <c r="K44" s="8">
        <f t="shared" si="234"/>
        <v>5694</v>
      </c>
      <c r="L44" s="17">
        <f t="shared" ref="L44" si="252">J44-K44</f>
        <v>0</v>
      </c>
      <c r="M44" s="17">
        <f t="shared" si="244"/>
        <v>1</v>
      </c>
      <c r="N44" s="17">
        <f t="shared" ref="N44" si="253">L44*M44</f>
        <v>0</v>
      </c>
      <c r="O44" s="17">
        <f t="shared" ref="O44" si="254">N44-I44</f>
        <v>-86.600000000000364</v>
      </c>
      <c r="P44" s="8">
        <v>24366.1</v>
      </c>
      <c r="Q44" s="17">
        <f>P42</f>
        <v>24364</v>
      </c>
      <c r="R44" s="19">
        <f t="shared" ref="R44" si="255">P44-Q44</f>
        <v>2.0999999999985448</v>
      </c>
      <c r="S44" s="17">
        <f t="shared" si="248"/>
        <v>1</v>
      </c>
      <c r="T44" s="19">
        <f t="shared" ref="T44" si="256">R44*S44</f>
        <v>2.0999999999985448</v>
      </c>
      <c r="U44" s="8"/>
      <c r="V44" s="8"/>
    </row>
    <row r="45" spans="1:22" ht="15.75" x14ac:dyDescent="0.25">
      <c r="A45" s="12">
        <v>29</v>
      </c>
      <c r="B45" s="22" t="s">
        <v>267</v>
      </c>
      <c r="C45" s="19" t="s">
        <v>264</v>
      </c>
      <c r="D45" s="8" t="s">
        <v>32</v>
      </c>
      <c r="E45" s="8">
        <v>13956.7</v>
      </c>
      <c r="F45" s="8">
        <f t="shared" si="231"/>
        <v>13920.9</v>
      </c>
      <c r="G45" s="17">
        <f t="shared" ref="G45" si="257">E45-F45</f>
        <v>35.800000000001091</v>
      </c>
      <c r="H45" s="17">
        <f t="shared" si="241"/>
        <v>1</v>
      </c>
      <c r="I45" s="17">
        <f t="shared" ref="I45" si="258">G45*H45</f>
        <v>35.800000000001091</v>
      </c>
      <c r="J45" s="8">
        <v>5932.2</v>
      </c>
      <c r="K45" s="8">
        <f t="shared" si="234"/>
        <v>5694</v>
      </c>
      <c r="L45" s="17">
        <f t="shared" ref="L45" si="259">J45-K45</f>
        <v>238.19999999999982</v>
      </c>
      <c r="M45" s="17">
        <f t="shared" si="244"/>
        <v>1</v>
      </c>
      <c r="N45" s="17">
        <f t="shared" ref="N45" si="260">L45*M45</f>
        <v>238.19999999999982</v>
      </c>
      <c r="O45" s="17">
        <f t="shared" ref="O45" si="261">N45-I45</f>
        <v>202.39999999999873</v>
      </c>
      <c r="P45" s="8">
        <v>24662</v>
      </c>
      <c r="Q45" s="17">
        <f>P43</f>
        <v>24364</v>
      </c>
      <c r="R45" s="19">
        <f t="shared" ref="R45" si="262">P45-Q45</f>
        <v>298</v>
      </c>
      <c r="S45" s="17">
        <f t="shared" si="248"/>
        <v>1</v>
      </c>
      <c r="T45" s="19">
        <f t="shared" ref="T45" si="263">R45*S45</f>
        <v>298</v>
      </c>
      <c r="U45" s="8"/>
      <c r="V45" s="8"/>
    </row>
    <row r="46" spans="1:22" ht="15.75" x14ac:dyDescent="0.25">
      <c r="A46" s="12">
        <v>30</v>
      </c>
      <c r="B46" s="22" t="s">
        <v>268</v>
      </c>
      <c r="C46" s="19" t="s">
        <v>264</v>
      </c>
      <c r="D46" s="8" t="s">
        <v>32</v>
      </c>
      <c r="E46" s="8">
        <v>13991.4</v>
      </c>
      <c r="F46" s="8">
        <f t="shared" si="231"/>
        <v>13956.7</v>
      </c>
      <c r="G46" s="17">
        <f t="shared" ref="G46" si="264">E46-F46</f>
        <v>34.699999999998909</v>
      </c>
      <c r="H46" s="17">
        <f t="shared" si="241"/>
        <v>1</v>
      </c>
      <c r="I46" s="17">
        <f t="shared" ref="I46" si="265">G46*H46</f>
        <v>34.699999999998909</v>
      </c>
      <c r="J46" s="8">
        <v>6223.5</v>
      </c>
      <c r="K46" s="8">
        <f t="shared" si="234"/>
        <v>5932.2</v>
      </c>
      <c r="L46" s="17">
        <f t="shared" ref="L46" si="266">J46-K46</f>
        <v>291.30000000000018</v>
      </c>
      <c r="M46" s="17">
        <f t="shared" si="244"/>
        <v>1</v>
      </c>
      <c r="N46" s="17">
        <f t="shared" ref="N46" si="267">L46*M46</f>
        <v>291.30000000000018</v>
      </c>
      <c r="O46" s="17">
        <f t="shared" ref="O46:O47" si="268">N46-I46</f>
        <v>256.60000000000127</v>
      </c>
      <c r="P46" s="8">
        <v>24971.200000000001</v>
      </c>
      <c r="Q46" s="17">
        <f t="shared" ref="Q46:Q51" si="269">P45</f>
        <v>24662</v>
      </c>
      <c r="R46" s="19">
        <f t="shared" ref="R46" si="270">P46-Q46</f>
        <v>309.20000000000073</v>
      </c>
      <c r="S46" s="17">
        <f t="shared" si="248"/>
        <v>1</v>
      </c>
      <c r="T46" s="19">
        <f t="shared" ref="T46" si="271">R46*S46</f>
        <v>309.20000000000073</v>
      </c>
      <c r="U46" s="8"/>
      <c r="V46" s="8"/>
    </row>
    <row r="47" spans="1:22" ht="15.75" x14ac:dyDescent="0.25">
      <c r="A47" s="12">
        <v>31</v>
      </c>
      <c r="B47" s="22" t="s">
        <v>272</v>
      </c>
      <c r="C47" s="19" t="s">
        <v>264</v>
      </c>
      <c r="D47" s="8" t="s">
        <v>32</v>
      </c>
      <c r="E47" s="8">
        <v>14039.6</v>
      </c>
      <c r="F47" s="8">
        <f t="shared" si="231"/>
        <v>13991.4</v>
      </c>
      <c r="G47" s="17">
        <f t="shared" ref="G47" si="272">E47-F47</f>
        <v>48.200000000000728</v>
      </c>
      <c r="H47" s="17">
        <f t="shared" si="241"/>
        <v>1</v>
      </c>
      <c r="I47" s="17">
        <f t="shared" ref="I47" si="273">G47*H47</f>
        <v>48.200000000000728</v>
      </c>
      <c r="J47" s="8">
        <v>6600</v>
      </c>
      <c r="K47" s="8">
        <f t="shared" si="234"/>
        <v>6223.5</v>
      </c>
      <c r="L47" s="17">
        <f t="shared" ref="L47" si="274">J47-K47</f>
        <v>376.5</v>
      </c>
      <c r="M47" s="17">
        <f t="shared" si="244"/>
        <v>1</v>
      </c>
      <c r="N47" s="17">
        <f t="shared" ref="N47" si="275">L47*M47</f>
        <v>376.5</v>
      </c>
      <c r="O47" s="17">
        <f t="shared" si="268"/>
        <v>328.29999999999927</v>
      </c>
      <c r="P47" s="8">
        <v>25380</v>
      </c>
      <c r="Q47" s="17">
        <f t="shared" si="269"/>
        <v>24971.200000000001</v>
      </c>
      <c r="R47" s="19">
        <f t="shared" ref="R47" si="276">P47-Q47</f>
        <v>408.79999999999927</v>
      </c>
      <c r="S47" s="17">
        <f t="shared" si="248"/>
        <v>1</v>
      </c>
      <c r="T47" s="19">
        <f t="shared" ref="T47" si="277">R47*S47</f>
        <v>408.79999999999927</v>
      </c>
      <c r="U47" s="8"/>
      <c r="V47" s="8"/>
    </row>
    <row r="48" spans="1:22" ht="15.75" x14ac:dyDescent="0.25">
      <c r="A48" s="12">
        <v>32</v>
      </c>
      <c r="B48" s="22" t="s">
        <v>274</v>
      </c>
      <c r="C48" s="19" t="s">
        <v>264</v>
      </c>
      <c r="D48" s="8" t="s">
        <v>32</v>
      </c>
      <c r="E48" s="8">
        <v>14073</v>
      </c>
      <c r="F48" s="8">
        <f t="shared" ref="F48" si="278">E47</f>
        <v>14039.6</v>
      </c>
      <c r="G48" s="17">
        <f t="shared" ref="G48" si="279">E48-F48</f>
        <v>33.399999999999636</v>
      </c>
      <c r="H48" s="17">
        <f t="shared" si="241"/>
        <v>1</v>
      </c>
      <c r="I48" s="17">
        <f t="shared" ref="I48" si="280">G48*H48</f>
        <v>33.399999999999636</v>
      </c>
      <c r="J48" s="8">
        <v>6842.2</v>
      </c>
      <c r="K48" s="8">
        <f t="shared" ref="K48" si="281">J47</f>
        <v>6600</v>
      </c>
      <c r="L48" s="17">
        <f t="shared" ref="L48" si="282">J48-K48</f>
        <v>242.19999999999982</v>
      </c>
      <c r="M48" s="17">
        <f t="shared" si="244"/>
        <v>1</v>
      </c>
      <c r="N48" s="17">
        <f t="shared" ref="N48" si="283">L48*M48</f>
        <v>242.19999999999982</v>
      </c>
      <c r="O48" s="17">
        <f t="shared" ref="O48" si="284">N48-I48</f>
        <v>208.80000000000018</v>
      </c>
      <c r="P48" s="8">
        <v>25668</v>
      </c>
      <c r="Q48" s="17">
        <f t="shared" si="269"/>
        <v>25380</v>
      </c>
      <c r="R48" s="19">
        <f t="shared" ref="R48" si="285">P48-Q48</f>
        <v>288</v>
      </c>
      <c r="S48" s="17">
        <f t="shared" si="248"/>
        <v>1</v>
      </c>
      <c r="T48" s="19">
        <f t="shared" ref="T48" si="286">R48*S48</f>
        <v>288</v>
      </c>
      <c r="U48" s="8"/>
      <c r="V48" s="8"/>
    </row>
    <row r="49" spans="1:26" ht="15.75" x14ac:dyDescent="0.25">
      <c r="A49" s="12">
        <v>33</v>
      </c>
      <c r="B49" s="22" t="s">
        <v>276</v>
      </c>
      <c r="C49" s="19" t="s">
        <v>264</v>
      </c>
      <c r="D49" s="8" t="s">
        <v>32</v>
      </c>
      <c r="E49" s="8">
        <v>14133.4</v>
      </c>
      <c r="F49" s="8">
        <f t="shared" ref="F49" si="287">E48</f>
        <v>14073</v>
      </c>
      <c r="G49" s="17">
        <f t="shared" ref="G49" si="288">E49-F49</f>
        <v>60.399999999999636</v>
      </c>
      <c r="H49" s="17">
        <f t="shared" si="241"/>
        <v>1</v>
      </c>
      <c r="I49" s="17">
        <f t="shared" ref="I49" si="289">G49*H49</f>
        <v>60.399999999999636</v>
      </c>
      <c r="J49" s="8">
        <v>7153.7</v>
      </c>
      <c r="K49" s="8">
        <f t="shared" ref="K49" si="290">J48</f>
        <v>6842.2</v>
      </c>
      <c r="L49" s="17">
        <f t="shared" ref="L49" si="291">J49-K49</f>
        <v>311.5</v>
      </c>
      <c r="M49" s="17">
        <f t="shared" si="244"/>
        <v>1</v>
      </c>
      <c r="N49" s="17">
        <f t="shared" ref="N49" si="292">L49*M49</f>
        <v>311.5</v>
      </c>
      <c r="O49" s="17">
        <f t="shared" ref="O49" si="293">N49-I49</f>
        <v>251.10000000000036</v>
      </c>
      <c r="P49" s="8">
        <v>26021</v>
      </c>
      <c r="Q49" s="17">
        <f t="shared" si="269"/>
        <v>25668</v>
      </c>
      <c r="R49" s="19">
        <f t="shared" ref="R49" si="294">P49-Q49</f>
        <v>353</v>
      </c>
      <c r="S49" s="17">
        <f t="shared" si="248"/>
        <v>1</v>
      </c>
      <c r="T49" s="19">
        <f t="shared" ref="T49" si="295">R49*S49</f>
        <v>353</v>
      </c>
      <c r="U49" s="8">
        <v>3.32</v>
      </c>
      <c r="V49" s="8">
        <v>0.88</v>
      </c>
    </row>
    <row r="50" spans="1:26" ht="15.75" x14ac:dyDescent="0.25">
      <c r="A50" s="12">
        <v>34</v>
      </c>
      <c r="B50" s="22" t="s">
        <v>262</v>
      </c>
      <c r="C50" s="19" t="s">
        <v>264</v>
      </c>
      <c r="D50" s="8" t="s">
        <v>32</v>
      </c>
      <c r="E50" s="8">
        <v>14214</v>
      </c>
      <c r="F50" s="8">
        <f t="shared" ref="F50" si="296">E49</f>
        <v>14133.4</v>
      </c>
      <c r="G50" s="17">
        <f t="shared" ref="G50" si="297">E50-F50</f>
        <v>80.600000000000364</v>
      </c>
      <c r="H50" s="17">
        <f t="shared" si="241"/>
        <v>1</v>
      </c>
      <c r="I50" s="17">
        <f t="shared" ref="I50" si="298">G50*H50</f>
        <v>80.600000000000364</v>
      </c>
      <c r="J50" s="8">
        <v>7456.1</v>
      </c>
      <c r="K50" s="8">
        <f t="shared" ref="K50" si="299">J49</f>
        <v>7153.7</v>
      </c>
      <c r="L50" s="17">
        <f t="shared" ref="L50" si="300">J50-K50</f>
        <v>302.40000000000055</v>
      </c>
      <c r="M50" s="17">
        <f t="shared" si="244"/>
        <v>1</v>
      </c>
      <c r="N50" s="17">
        <f t="shared" ref="N50" si="301">L50*M50</f>
        <v>302.40000000000055</v>
      </c>
      <c r="O50" s="17">
        <f t="shared" ref="O50" si="302">N50-I50</f>
        <v>221.80000000000018</v>
      </c>
      <c r="P50" s="8">
        <v>26343</v>
      </c>
      <c r="Q50" s="17">
        <f t="shared" si="269"/>
        <v>26021</v>
      </c>
      <c r="R50" s="19">
        <f t="shared" ref="R50" si="303">P50-Q50</f>
        <v>322</v>
      </c>
      <c r="S50" s="17">
        <f t="shared" si="248"/>
        <v>1</v>
      </c>
      <c r="T50" s="19">
        <f t="shared" ref="T50" si="304">R50*S50</f>
        <v>322</v>
      </c>
      <c r="U50" s="8"/>
      <c r="V50" s="8"/>
    </row>
    <row r="51" spans="1:26" ht="15.75" x14ac:dyDescent="0.25">
      <c r="A51" s="12">
        <v>35</v>
      </c>
      <c r="B51" s="22" t="s">
        <v>277</v>
      </c>
      <c r="C51" s="19" t="s">
        <v>264</v>
      </c>
      <c r="D51" s="8" t="s">
        <v>32</v>
      </c>
      <c r="E51" s="8">
        <v>14409.6</v>
      </c>
      <c r="F51" s="8">
        <f t="shared" ref="F51" si="305">E50</f>
        <v>14214</v>
      </c>
      <c r="G51" s="17">
        <f t="shared" ref="G51" si="306">E51-F51</f>
        <v>195.60000000000036</v>
      </c>
      <c r="H51" s="17">
        <f t="shared" si="241"/>
        <v>1</v>
      </c>
      <c r="I51" s="17">
        <f t="shared" ref="I51" si="307">G51*H51</f>
        <v>195.60000000000036</v>
      </c>
      <c r="J51" s="8">
        <v>7647.1</v>
      </c>
      <c r="K51" s="8">
        <f t="shared" ref="K51" si="308">J50</f>
        <v>7456.1</v>
      </c>
      <c r="L51" s="17">
        <f t="shared" ref="L51" si="309">J51-K51</f>
        <v>191</v>
      </c>
      <c r="M51" s="17">
        <f t="shared" si="244"/>
        <v>1</v>
      </c>
      <c r="N51" s="17">
        <f t="shared" ref="N51" si="310">L51*M51</f>
        <v>191</v>
      </c>
      <c r="O51" s="17">
        <f t="shared" ref="O51" si="311">N51-I51</f>
        <v>-4.6000000000003638</v>
      </c>
      <c r="P51" s="8">
        <v>26730</v>
      </c>
      <c r="Q51" s="17">
        <f t="shared" si="269"/>
        <v>26343</v>
      </c>
      <c r="R51" s="19">
        <f t="shared" ref="R51" si="312">P51-Q51</f>
        <v>387</v>
      </c>
      <c r="S51" s="17">
        <f t="shared" si="248"/>
        <v>1</v>
      </c>
      <c r="T51" s="19">
        <f t="shared" ref="T51" si="313">R51*S51</f>
        <v>387</v>
      </c>
      <c r="U51" s="8">
        <v>3.9</v>
      </c>
      <c r="V51" s="8">
        <v>0.89</v>
      </c>
    </row>
    <row r="52" spans="1:26" ht="15.75" x14ac:dyDescent="0.25">
      <c r="A52" s="12">
        <v>36</v>
      </c>
      <c r="B52" s="22" t="s">
        <v>278</v>
      </c>
      <c r="C52" s="19" t="s">
        <v>264</v>
      </c>
      <c r="D52" s="8" t="s">
        <v>32</v>
      </c>
      <c r="E52" s="8">
        <v>14702.4</v>
      </c>
      <c r="F52" s="8">
        <f t="shared" ref="F52" si="314">E51</f>
        <v>14409.6</v>
      </c>
      <c r="G52" s="17">
        <f t="shared" ref="G52" si="315">E52-F52</f>
        <v>292.79999999999927</v>
      </c>
      <c r="H52" s="17">
        <f t="shared" si="241"/>
        <v>1</v>
      </c>
      <c r="I52" s="17">
        <f t="shared" ref="I52" si="316">G52*H52</f>
        <v>292.79999999999927</v>
      </c>
      <c r="J52" s="8">
        <v>8133.2</v>
      </c>
      <c r="K52" s="8">
        <f t="shared" ref="K52" si="317">J51</f>
        <v>7647.1</v>
      </c>
      <c r="L52" s="17">
        <f t="shared" ref="L52" si="318">J52-K52</f>
        <v>486.09999999999945</v>
      </c>
      <c r="M52" s="17">
        <f t="shared" si="244"/>
        <v>1</v>
      </c>
      <c r="N52" s="17">
        <f t="shared" ref="N52" si="319">L52*M52</f>
        <v>486.09999999999945</v>
      </c>
      <c r="O52" s="17">
        <f t="shared" ref="O52" si="320">N52-I52</f>
        <v>193.30000000000018</v>
      </c>
      <c r="P52" s="8">
        <v>27216.5</v>
      </c>
      <c r="Q52" s="17">
        <f t="shared" ref="Q52" si="321">P51</f>
        <v>26730</v>
      </c>
      <c r="R52" s="19">
        <f t="shared" ref="R52" si="322">P52-Q52</f>
        <v>486.5</v>
      </c>
      <c r="S52" s="17">
        <f t="shared" si="248"/>
        <v>1</v>
      </c>
      <c r="T52" s="19">
        <f t="shared" ref="T52" si="323">R52*S52</f>
        <v>486.5</v>
      </c>
      <c r="U52" s="8">
        <v>3.6</v>
      </c>
      <c r="V52" s="8">
        <v>0.93</v>
      </c>
    </row>
    <row r="53" spans="1:26" ht="15.75" x14ac:dyDescent="0.25">
      <c r="A53" s="164"/>
      <c r="B53" s="22"/>
      <c r="C53" s="161"/>
      <c r="D53" s="8"/>
      <c r="E53" s="8"/>
      <c r="F53" s="8"/>
      <c r="G53" s="162"/>
      <c r="H53" s="162"/>
      <c r="I53" s="162"/>
      <c r="J53" s="8"/>
      <c r="K53" s="8"/>
      <c r="L53" s="162"/>
      <c r="M53" s="162"/>
      <c r="N53" s="162"/>
      <c r="O53" s="162"/>
      <c r="P53" s="8"/>
      <c r="Q53" s="162"/>
      <c r="R53" s="161"/>
      <c r="S53" s="162"/>
      <c r="T53" s="161"/>
      <c r="U53" s="8"/>
      <c r="V53" s="8"/>
    </row>
    <row r="54" spans="1:26" ht="15.75" x14ac:dyDescent="0.25">
      <c r="A54" s="12">
        <v>37</v>
      </c>
      <c r="B54" s="22" t="s">
        <v>279</v>
      </c>
      <c r="C54" s="19" t="s">
        <v>264</v>
      </c>
      <c r="D54" s="8" t="s">
        <v>32</v>
      </c>
      <c r="E54" s="8">
        <f>E52+80</f>
        <v>14782.4</v>
      </c>
      <c r="F54" s="8">
        <f t="shared" ref="F54" si="324">E52</f>
        <v>14702.4</v>
      </c>
      <c r="G54" s="17">
        <f t="shared" ref="G54" si="325">E54-F54</f>
        <v>80</v>
      </c>
      <c r="H54" s="17">
        <f>H52</f>
        <v>1</v>
      </c>
      <c r="I54" s="17">
        <f t="shared" ref="I54" si="326">G54*H54</f>
        <v>80</v>
      </c>
      <c r="J54" s="8">
        <f>J52+322</f>
        <v>8455.2000000000007</v>
      </c>
      <c r="K54" s="8">
        <f t="shared" ref="K54" si="327">J52</f>
        <v>8133.2</v>
      </c>
      <c r="L54" s="17">
        <f t="shared" ref="L54" si="328">J54-K54</f>
        <v>322.00000000000091</v>
      </c>
      <c r="M54" s="17">
        <f>M52</f>
        <v>1</v>
      </c>
      <c r="N54" s="17">
        <f t="shared" ref="N54" si="329">L54*M54</f>
        <v>322.00000000000091</v>
      </c>
      <c r="O54" s="17">
        <f t="shared" ref="O54" si="330">N54-I54</f>
        <v>242.00000000000091</v>
      </c>
      <c r="P54" s="8">
        <f>P52+340</f>
        <v>27556.5</v>
      </c>
      <c r="Q54" s="17">
        <f t="shared" ref="Q54" si="331">P52</f>
        <v>27216.5</v>
      </c>
      <c r="R54" s="19">
        <f t="shared" ref="R54" si="332">P54-Q54</f>
        <v>340</v>
      </c>
      <c r="S54" s="17">
        <f>S52</f>
        <v>1</v>
      </c>
      <c r="T54" s="19">
        <f t="shared" ref="T54" si="333">R54*S54</f>
        <v>340</v>
      </c>
      <c r="U54" s="8"/>
      <c r="V54" s="8"/>
      <c r="Z54">
        <f>33800*0.18</f>
        <v>6084</v>
      </c>
    </row>
    <row r="55" spans="1:26" ht="15.75" x14ac:dyDescent="0.25">
      <c r="A55" s="12">
        <v>38</v>
      </c>
      <c r="B55" s="22" t="s">
        <v>280</v>
      </c>
      <c r="C55" s="19" t="s">
        <v>264</v>
      </c>
      <c r="D55" s="8" t="s">
        <v>32</v>
      </c>
      <c r="E55" s="8">
        <f>E54+81</f>
        <v>14863.4</v>
      </c>
      <c r="F55" s="8">
        <f t="shared" ref="F55" si="334">E54</f>
        <v>14782.4</v>
      </c>
      <c r="G55" s="17">
        <f t="shared" ref="G55" si="335">E55-F55</f>
        <v>81</v>
      </c>
      <c r="H55" s="17">
        <f t="shared" si="241"/>
        <v>1</v>
      </c>
      <c r="I55" s="17">
        <f t="shared" ref="I55" si="336">G55*H55</f>
        <v>81</v>
      </c>
      <c r="J55" s="8">
        <f>J54+323</f>
        <v>8778.2000000000007</v>
      </c>
      <c r="K55" s="8">
        <f t="shared" ref="K55" si="337">J54</f>
        <v>8455.2000000000007</v>
      </c>
      <c r="L55" s="17">
        <f t="shared" ref="L55" si="338">J55-K55</f>
        <v>323</v>
      </c>
      <c r="M55" s="17">
        <f t="shared" si="244"/>
        <v>1</v>
      </c>
      <c r="N55" s="17">
        <f t="shared" ref="N55" si="339">L55*M55</f>
        <v>323</v>
      </c>
      <c r="O55" s="17">
        <f t="shared" ref="O55" si="340">N55-I55</f>
        <v>242</v>
      </c>
      <c r="P55" s="8">
        <f>P54+341</f>
        <v>27897.5</v>
      </c>
      <c r="Q55" s="17">
        <f t="shared" ref="Q55" si="341">P54</f>
        <v>27556.5</v>
      </c>
      <c r="R55" s="19">
        <f t="shared" ref="R55" si="342">P55-Q55</f>
        <v>341</v>
      </c>
      <c r="S55" s="17">
        <f t="shared" si="248"/>
        <v>1</v>
      </c>
      <c r="T55" s="19">
        <f t="shared" ref="T55" si="343">R55*S55</f>
        <v>341</v>
      </c>
      <c r="U55" s="8"/>
      <c r="V55" s="8"/>
    </row>
    <row r="56" spans="1:26" ht="15.75" x14ac:dyDescent="0.25">
      <c r="A56" s="12">
        <v>39</v>
      </c>
      <c r="B56" s="22" t="s">
        <v>281</v>
      </c>
      <c r="C56" s="19" t="s">
        <v>264</v>
      </c>
      <c r="D56" s="8" t="s">
        <v>32</v>
      </c>
      <c r="E56" s="8">
        <f>E55+79</f>
        <v>14942.4</v>
      </c>
      <c r="F56" s="8">
        <f t="shared" ref="F56" si="344">E55</f>
        <v>14863.4</v>
      </c>
      <c r="G56" s="17">
        <f t="shared" ref="G56" si="345">E56-F56</f>
        <v>79</v>
      </c>
      <c r="H56" s="17">
        <f t="shared" si="241"/>
        <v>1</v>
      </c>
      <c r="I56" s="17">
        <f t="shared" ref="I56" si="346">G56*H56</f>
        <v>79</v>
      </c>
      <c r="J56" s="8">
        <f>J55+320</f>
        <v>9098.2000000000007</v>
      </c>
      <c r="K56" s="8">
        <f t="shared" ref="K56:K57" si="347">J55</f>
        <v>8778.2000000000007</v>
      </c>
      <c r="L56" s="17">
        <f t="shared" ref="L56:L57" si="348">J56-K56</f>
        <v>320</v>
      </c>
      <c r="M56" s="17">
        <f t="shared" si="244"/>
        <v>1</v>
      </c>
      <c r="N56" s="17">
        <f t="shared" ref="N56:N57" si="349">L56*M56</f>
        <v>320</v>
      </c>
      <c r="O56" s="17">
        <f t="shared" ref="O56:O57" si="350">N56-I56</f>
        <v>241</v>
      </c>
      <c r="P56" s="8">
        <f>P55+339</f>
        <v>28236.5</v>
      </c>
      <c r="Q56" s="17">
        <f t="shared" ref="Q56" si="351">P55</f>
        <v>27897.5</v>
      </c>
      <c r="R56" s="19">
        <f t="shared" ref="R56" si="352">P56-Q56</f>
        <v>339</v>
      </c>
      <c r="S56" s="17">
        <f t="shared" si="248"/>
        <v>1</v>
      </c>
      <c r="T56" s="19">
        <f t="shared" ref="T56" si="353">R56*S56</f>
        <v>339</v>
      </c>
      <c r="U56" s="8"/>
      <c r="V56" s="8"/>
    </row>
    <row r="57" spans="1:26" ht="15.75" x14ac:dyDescent="0.25">
      <c r="A57" s="12">
        <v>40</v>
      </c>
      <c r="B57" s="22" t="s">
        <v>282</v>
      </c>
      <c r="C57" s="19" t="s">
        <v>264</v>
      </c>
      <c r="D57" s="8" t="s">
        <v>32</v>
      </c>
      <c r="E57" s="8">
        <v>15023.7</v>
      </c>
      <c r="F57" s="8">
        <f t="shared" ref="F57" si="354">E56</f>
        <v>14942.4</v>
      </c>
      <c r="G57" s="17">
        <f t="shared" ref="G57" si="355">E57-F57</f>
        <v>81.300000000001091</v>
      </c>
      <c r="H57" s="17">
        <f t="shared" si="241"/>
        <v>1</v>
      </c>
      <c r="I57" s="17">
        <f t="shared" ref="I57" si="356">G57*H57</f>
        <v>81.300000000001091</v>
      </c>
      <c r="J57" s="8">
        <v>9420.7999999999993</v>
      </c>
      <c r="K57" s="8">
        <f t="shared" si="347"/>
        <v>9098.2000000000007</v>
      </c>
      <c r="L57" s="17">
        <f t="shared" si="348"/>
        <v>322.59999999999854</v>
      </c>
      <c r="M57" s="17">
        <f t="shared" si="244"/>
        <v>1</v>
      </c>
      <c r="N57" s="17">
        <f t="shared" si="349"/>
        <v>322.59999999999854</v>
      </c>
      <c r="O57" s="17">
        <f t="shared" si="350"/>
        <v>241.29999999999745</v>
      </c>
      <c r="P57" s="8">
        <v>28575.1</v>
      </c>
      <c r="Q57" s="17">
        <f t="shared" ref="Q57" si="357">P56</f>
        <v>28236.5</v>
      </c>
      <c r="R57" s="19">
        <f t="shared" ref="R57" si="358">P57-Q57</f>
        <v>338.59999999999854</v>
      </c>
      <c r="S57" s="17">
        <f t="shared" si="248"/>
        <v>1</v>
      </c>
      <c r="T57" s="19">
        <f t="shared" ref="T57" si="359">R57*S57</f>
        <v>338.59999999999854</v>
      </c>
      <c r="U57" s="8"/>
      <c r="V57" s="8"/>
    </row>
    <row r="58" spans="1:26" ht="15.75" x14ac:dyDescent="0.25">
      <c r="A58" s="12">
        <v>41</v>
      </c>
      <c r="B58" s="22" t="s">
        <v>283</v>
      </c>
      <c r="C58" s="19" t="s">
        <v>264</v>
      </c>
      <c r="D58" s="8" t="s">
        <v>32</v>
      </c>
      <c r="E58" s="8">
        <v>15053.9</v>
      </c>
      <c r="F58" s="8">
        <f t="shared" ref="F58" si="360">E57</f>
        <v>15023.7</v>
      </c>
      <c r="G58" s="17">
        <f t="shared" ref="G58" si="361">E58-F58</f>
        <v>30.199999999998909</v>
      </c>
      <c r="H58" s="17">
        <f t="shared" si="241"/>
        <v>1</v>
      </c>
      <c r="I58" s="17">
        <f t="shared" ref="I58" si="362">G58*H58</f>
        <v>30.199999999998909</v>
      </c>
      <c r="J58" s="8">
        <v>9679.7000000000007</v>
      </c>
      <c r="K58" s="8">
        <f t="shared" ref="K58" si="363">J57</f>
        <v>9420.7999999999993</v>
      </c>
      <c r="L58" s="17">
        <f t="shared" ref="L58" si="364">J58-K58</f>
        <v>258.90000000000146</v>
      </c>
      <c r="M58" s="17">
        <f t="shared" si="244"/>
        <v>1</v>
      </c>
      <c r="N58" s="17">
        <f t="shared" ref="N58" si="365">L58*M58</f>
        <v>258.90000000000146</v>
      </c>
      <c r="O58" s="17">
        <f t="shared" ref="O58" si="366">N58-I58</f>
        <v>228.70000000000255</v>
      </c>
      <c r="P58" s="8">
        <v>28860.3</v>
      </c>
      <c r="Q58" s="17">
        <f t="shared" ref="Q58" si="367">P57</f>
        <v>28575.1</v>
      </c>
      <c r="R58" s="19">
        <f t="shared" ref="R58" si="368">P58-Q58</f>
        <v>285.20000000000073</v>
      </c>
      <c r="S58" s="17">
        <f t="shared" si="248"/>
        <v>1</v>
      </c>
      <c r="T58" s="19">
        <f t="shared" ref="T58" si="369">R58*S58</f>
        <v>285.20000000000073</v>
      </c>
      <c r="U58" s="8">
        <v>2.5</v>
      </c>
      <c r="V58" s="8">
        <v>0.77300000000000002</v>
      </c>
    </row>
    <row r="59" spans="1:26" ht="15.75" x14ac:dyDescent="0.25">
      <c r="A59" s="12">
        <v>42</v>
      </c>
      <c r="B59" s="22" t="s">
        <v>284</v>
      </c>
      <c r="C59" s="19" t="s">
        <v>264</v>
      </c>
      <c r="D59" s="8" t="s">
        <v>32</v>
      </c>
      <c r="E59" s="8">
        <v>15200.5</v>
      </c>
      <c r="F59" s="8">
        <f t="shared" ref="F59" si="370">E58</f>
        <v>15053.9</v>
      </c>
      <c r="G59" s="17">
        <f t="shared" ref="G59" si="371">E59-F59</f>
        <v>146.60000000000036</v>
      </c>
      <c r="H59" s="17">
        <f t="shared" si="241"/>
        <v>1</v>
      </c>
      <c r="I59" s="17">
        <f t="shared" ref="I59" si="372">G59*H59</f>
        <v>146.60000000000036</v>
      </c>
      <c r="J59" s="8">
        <v>9992.2000000000007</v>
      </c>
      <c r="K59" s="8">
        <f t="shared" ref="K59" si="373">J58</f>
        <v>9679.7000000000007</v>
      </c>
      <c r="L59" s="17">
        <f t="shared" ref="L59" si="374">J59-K59</f>
        <v>312.5</v>
      </c>
      <c r="M59" s="17">
        <f t="shared" si="244"/>
        <v>1</v>
      </c>
      <c r="N59" s="17">
        <f t="shared" ref="N59" si="375">L59*M59</f>
        <v>312.5</v>
      </c>
      <c r="O59" s="17">
        <f t="shared" ref="O59" si="376">N59-I59</f>
        <v>165.89999999999964</v>
      </c>
      <c r="P59" s="8">
        <v>29216</v>
      </c>
      <c r="Q59" s="17">
        <f t="shared" ref="Q59" si="377">P58</f>
        <v>28860.3</v>
      </c>
      <c r="R59" s="19">
        <f t="shared" ref="R59" si="378">P59-Q59</f>
        <v>355.70000000000073</v>
      </c>
      <c r="S59" s="17">
        <f t="shared" si="248"/>
        <v>1</v>
      </c>
      <c r="T59" s="19">
        <f t="shared" ref="T59" si="379">R59*S59</f>
        <v>355.70000000000073</v>
      </c>
      <c r="U59" s="8">
        <v>3.12</v>
      </c>
      <c r="V59" s="8">
        <v>0.91</v>
      </c>
    </row>
    <row r="60" spans="1:26" ht="15.75" x14ac:dyDescent="0.25">
      <c r="A60" s="12">
        <v>43</v>
      </c>
      <c r="B60" s="22" t="s">
        <v>286</v>
      </c>
      <c r="C60" s="19" t="s">
        <v>264</v>
      </c>
      <c r="D60" s="8" t="s">
        <v>32</v>
      </c>
      <c r="E60" s="8">
        <v>15446.2</v>
      </c>
      <c r="F60" s="8">
        <f t="shared" ref="F60" si="380">E59</f>
        <v>15200.5</v>
      </c>
      <c r="G60" s="17">
        <f t="shared" ref="G60" si="381">E60-F60</f>
        <v>245.70000000000073</v>
      </c>
      <c r="H60" s="17">
        <f t="shared" si="241"/>
        <v>1</v>
      </c>
      <c r="I60" s="17">
        <f t="shared" ref="I60" si="382">G60*H60</f>
        <v>245.70000000000073</v>
      </c>
      <c r="J60" s="8">
        <v>10107.1</v>
      </c>
      <c r="K60" s="8">
        <f t="shared" ref="K60" si="383">J59</f>
        <v>9992.2000000000007</v>
      </c>
      <c r="L60" s="17">
        <f t="shared" ref="L60" si="384">J60-K60</f>
        <v>114.89999999999964</v>
      </c>
      <c r="M60" s="17">
        <f t="shared" si="244"/>
        <v>1</v>
      </c>
      <c r="N60" s="17">
        <f t="shared" ref="N60" si="385">L60*M60</f>
        <v>114.89999999999964</v>
      </c>
      <c r="O60" s="17">
        <f t="shared" ref="O60" si="386">N60-I60</f>
        <v>-130.80000000000109</v>
      </c>
      <c r="P60" s="8">
        <v>29336.400000000001</v>
      </c>
      <c r="Q60" s="17">
        <f t="shared" ref="Q60" si="387">P59</f>
        <v>29216</v>
      </c>
      <c r="R60" s="19">
        <f t="shared" ref="R60" si="388">P60-Q60</f>
        <v>120.40000000000146</v>
      </c>
      <c r="S60" s="17">
        <f t="shared" si="248"/>
        <v>1</v>
      </c>
      <c r="T60" s="19">
        <f t="shared" ref="T60" si="389">R60*S60</f>
        <v>120.40000000000146</v>
      </c>
      <c r="U60" s="8">
        <v>3.2</v>
      </c>
      <c r="V60" s="8">
        <v>0.97299999999999998</v>
      </c>
    </row>
    <row r="61" spans="1:26" ht="15.75" x14ac:dyDescent="0.25">
      <c r="A61" s="12">
        <v>44</v>
      </c>
      <c r="B61" s="22" t="s">
        <v>288</v>
      </c>
      <c r="C61" s="19" t="s">
        <v>264</v>
      </c>
      <c r="D61" s="8" t="s">
        <v>32</v>
      </c>
      <c r="E61" s="8">
        <v>15723.2</v>
      </c>
      <c r="F61" s="8">
        <f t="shared" ref="F61" si="390">E60</f>
        <v>15446.2</v>
      </c>
      <c r="G61" s="17">
        <f t="shared" ref="G61" si="391">E61-F61</f>
        <v>277</v>
      </c>
      <c r="H61" s="17">
        <f t="shared" si="241"/>
        <v>1</v>
      </c>
      <c r="I61" s="17">
        <f t="shared" ref="I61" si="392">G61*H61</f>
        <v>277</v>
      </c>
      <c r="J61" s="8">
        <v>10107.1</v>
      </c>
      <c r="K61" s="8">
        <f t="shared" ref="K61" si="393">J60</f>
        <v>10107.1</v>
      </c>
      <c r="L61" s="17">
        <f t="shared" ref="L61" si="394">J61-K61</f>
        <v>0</v>
      </c>
      <c r="M61" s="17">
        <f t="shared" si="244"/>
        <v>1</v>
      </c>
      <c r="N61" s="17">
        <f t="shared" ref="N61" si="395">L61*M61</f>
        <v>0</v>
      </c>
      <c r="O61" s="17">
        <f t="shared" ref="O61" si="396">N61-I61</f>
        <v>-277</v>
      </c>
      <c r="P61" s="8">
        <v>29357</v>
      </c>
      <c r="Q61" s="17">
        <f t="shared" ref="Q61:Q62" si="397">P60</f>
        <v>29336.400000000001</v>
      </c>
      <c r="R61" s="19">
        <f t="shared" ref="R61" si="398">P61-Q61</f>
        <v>20.599999999998545</v>
      </c>
      <c r="S61" s="17">
        <f t="shared" si="248"/>
        <v>1</v>
      </c>
      <c r="T61" s="19">
        <f t="shared" ref="T61" si="399">R61*S61</f>
        <v>20.599999999998545</v>
      </c>
      <c r="U61" s="8"/>
      <c r="V61" s="8">
        <v>0.98</v>
      </c>
    </row>
    <row r="62" spans="1:26" ht="15.75" x14ac:dyDescent="0.25">
      <c r="A62" s="12">
        <v>45</v>
      </c>
      <c r="B62" s="22" t="s">
        <v>289</v>
      </c>
      <c r="C62" s="19" t="s">
        <v>264</v>
      </c>
      <c r="D62" s="8" t="s">
        <v>32</v>
      </c>
      <c r="E62" s="8">
        <v>16137.4</v>
      </c>
      <c r="F62" s="8">
        <f t="shared" ref="F62" si="400">E61</f>
        <v>15723.2</v>
      </c>
      <c r="G62" s="17">
        <f t="shared" ref="G62" si="401">E62-F62</f>
        <v>414.19999999999891</v>
      </c>
      <c r="H62" s="17">
        <f t="shared" si="241"/>
        <v>1</v>
      </c>
      <c r="I62" s="17">
        <f t="shared" ref="I62" si="402">G62*H62</f>
        <v>414.19999999999891</v>
      </c>
      <c r="J62" s="8">
        <v>10107.1</v>
      </c>
      <c r="K62" s="8">
        <f t="shared" ref="K62" si="403">J61</f>
        <v>10107.1</v>
      </c>
      <c r="L62" s="17">
        <f t="shared" ref="L62" si="404">J62-K62</f>
        <v>0</v>
      </c>
      <c r="M62" s="17">
        <f t="shared" si="244"/>
        <v>1</v>
      </c>
      <c r="N62" s="17">
        <f t="shared" ref="N62" si="405">L62*M62</f>
        <v>0</v>
      </c>
      <c r="O62" s="17">
        <f t="shared" ref="O62" si="406">N62-I62</f>
        <v>-414.19999999999891</v>
      </c>
      <c r="P62" s="8">
        <v>29358</v>
      </c>
      <c r="Q62" s="17">
        <f t="shared" si="397"/>
        <v>29357</v>
      </c>
      <c r="R62" s="19">
        <f t="shared" ref="R62" si="407">P62-Q62</f>
        <v>1</v>
      </c>
      <c r="S62" s="17">
        <f t="shared" si="248"/>
        <v>1</v>
      </c>
      <c r="T62" s="19">
        <f t="shared" ref="T62" si="408">R62*S62</f>
        <v>1</v>
      </c>
      <c r="U62" s="8"/>
      <c r="V62" s="8">
        <v>0.98</v>
      </c>
    </row>
    <row r="63" spans="1:26" ht="15.75" x14ac:dyDescent="0.25">
      <c r="A63" s="12">
        <v>46</v>
      </c>
      <c r="B63" s="22" t="s">
        <v>290</v>
      </c>
      <c r="C63" s="19" t="s">
        <v>264</v>
      </c>
      <c r="D63" s="8" t="s">
        <v>32</v>
      </c>
      <c r="E63" s="8">
        <v>16304.3</v>
      </c>
      <c r="F63" s="8">
        <f t="shared" ref="F63" si="409">E62</f>
        <v>16137.4</v>
      </c>
      <c r="G63" s="17">
        <f t="shared" ref="G63" si="410">E63-F63</f>
        <v>166.89999999999964</v>
      </c>
      <c r="H63" s="17">
        <f t="shared" si="241"/>
        <v>1</v>
      </c>
      <c r="I63" s="17">
        <f t="shared" ref="I63" si="411">G63*H63</f>
        <v>166.89999999999964</v>
      </c>
      <c r="J63" s="8">
        <v>10107.1</v>
      </c>
      <c r="K63" s="8">
        <f t="shared" ref="K63" si="412">J62</f>
        <v>10107.1</v>
      </c>
      <c r="L63" s="17">
        <f t="shared" ref="L63" si="413">J63-K63</f>
        <v>0</v>
      </c>
      <c r="M63" s="17">
        <f t="shared" si="244"/>
        <v>1</v>
      </c>
      <c r="N63" s="17">
        <f t="shared" ref="N63" si="414">L63*M63</f>
        <v>0</v>
      </c>
      <c r="O63" s="17">
        <f t="shared" ref="O63" si="415">N63-I63</f>
        <v>-166.89999999999964</v>
      </c>
      <c r="P63" s="8">
        <v>29359</v>
      </c>
      <c r="Q63" s="17">
        <f t="shared" ref="Q63" si="416">P62</f>
        <v>29358</v>
      </c>
      <c r="R63" s="19">
        <f t="shared" ref="R63" si="417">P63-Q63</f>
        <v>1</v>
      </c>
      <c r="S63" s="17">
        <f t="shared" si="248"/>
        <v>1</v>
      </c>
      <c r="T63" s="19">
        <f t="shared" ref="T63" si="418">R63*S63</f>
        <v>1</v>
      </c>
      <c r="U63" s="8">
        <v>2.2000000000000002</v>
      </c>
      <c r="V63" s="8">
        <v>0.98</v>
      </c>
    </row>
    <row r="64" spans="1:26" ht="15.75" x14ac:dyDescent="0.25">
      <c r="A64" s="12">
        <v>47</v>
      </c>
      <c r="B64" s="22" t="s">
        <v>291</v>
      </c>
      <c r="C64" s="19" t="s">
        <v>264</v>
      </c>
      <c r="D64" s="8" t="s">
        <v>32</v>
      </c>
      <c r="E64" s="8">
        <v>16550.400000000001</v>
      </c>
      <c r="F64" s="8">
        <f t="shared" ref="F64:F71" si="419">E63</f>
        <v>16304.3</v>
      </c>
      <c r="G64" s="17">
        <f t="shared" ref="G64:G71" si="420">E64-F64</f>
        <v>246.10000000000218</v>
      </c>
      <c r="H64" s="17">
        <f t="shared" si="241"/>
        <v>1</v>
      </c>
      <c r="I64" s="17">
        <f t="shared" ref="I64:I71" si="421">G64*H64</f>
        <v>246.10000000000218</v>
      </c>
      <c r="J64" s="8">
        <v>10215.9</v>
      </c>
      <c r="K64" s="8">
        <f t="shared" ref="K64:K71" si="422">J63</f>
        <v>10107.1</v>
      </c>
      <c r="L64" s="17">
        <f t="shared" ref="L64:L71" si="423">J64-K64</f>
        <v>108.79999999999927</v>
      </c>
      <c r="M64" s="17">
        <f t="shared" si="244"/>
        <v>1</v>
      </c>
      <c r="N64" s="17">
        <f t="shared" ref="N64:N71" si="424">L64*M64</f>
        <v>108.79999999999927</v>
      </c>
      <c r="O64" s="17">
        <f t="shared" ref="O64:O71" si="425">N64-I64</f>
        <v>-137.30000000000291</v>
      </c>
      <c r="P64" s="8">
        <v>29501</v>
      </c>
      <c r="Q64" s="17">
        <f t="shared" ref="Q64:Q71" si="426">P63</f>
        <v>29359</v>
      </c>
      <c r="R64" s="19">
        <f t="shared" ref="R64:R71" si="427">P64-Q64</f>
        <v>142</v>
      </c>
      <c r="S64" s="17">
        <f t="shared" si="248"/>
        <v>1</v>
      </c>
      <c r="T64" s="19">
        <f t="shared" ref="T64:T71" si="428">R64*S64</f>
        <v>142</v>
      </c>
      <c r="U64" s="8">
        <v>2.2000000000000002</v>
      </c>
      <c r="V64" s="8">
        <v>0.99</v>
      </c>
    </row>
    <row r="65" spans="1:22" ht="15.75" x14ac:dyDescent="0.25">
      <c r="A65" s="12">
        <v>48</v>
      </c>
      <c r="B65" s="22" t="s">
        <v>292</v>
      </c>
      <c r="C65" s="19" t="s">
        <v>264</v>
      </c>
      <c r="D65" s="8" t="s">
        <v>32</v>
      </c>
      <c r="E65" s="8">
        <v>16809</v>
      </c>
      <c r="F65" s="8">
        <f t="shared" si="419"/>
        <v>16550.400000000001</v>
      </c>
      <c r="G65" s="17">
        <f t="shared" si="420"/>
        <v>258.59999999999854</v>
      </c>
      <c r="H65" s="17">
        <f t="shared" si="241"/>
        <v>1</v>
      </c>
      <c r="I65" s="17">
        <f t="shared" si="421"/>
        <v>258.59999999999854</v>
      </c>
      <c r="J65" s="8">
        <v>10525.2</v>
      </c>
      <c r="K65" s="8">
        <f t="shared" si="422"/>
        <v>10215.9</v>
      </c>
      <c r="L65" s="17">
        <f t="shared" si="423"/>
        <v>309.30000000000109</v>
      </c>
      <c r="M65" s="17">
        <f t="shared" si="244"/>
        <v>1</v>
      </c>
      <c r="N65" s="17">
        <f t="shared" si="424"/>
        <v>309.30000000000109</v>
      </c>
      <c r="O65" s="17">
        <f t="shared" si="425"/>
        <v>50.700000000002547</v>
      </c>
      <c r="P65" s="8">
        <v>29874</v>
      </c>
      <c r="Q65" s="17">
        <f t="shared" si="426"/>
        <v>29501</v>
      </c>
      <c r="R65" s="19">
        <f t="shared" si="427"/>
        <v>373</v>
      </c>
      <c r="S65" s="17">
        <f t="shared" si="248"/>
        <v>1</v>
      </c>
      <c r="T65" s="19">
        <f t="shared" si="428"/>
        <v>373</v>
      </c>
      <c r="U65" s="8">
        <v>2.8</v>
      </c>
      <c r="V65" s="8">
        <v>0.94</v>
      </c>
    </row>
    <row r="66" spans="1:22" ht="15.75" x14ac:dyDescent="0.25">
      <c r="A66" s="164"/>
      <c r="B66" s="22"/>
      <c r="C66" s="161"/>
      <c r="D66" s="8"/>
      <c r="E66" s="8"/>
      <c r="F66" s="8"/>
      <c r="G66" s="162"/>
      <c r="H66" s="162"/>
      <c r="I66" s="162"/>
      <c r="J66" s="8"/>
      <c r="K66" s="8"/>
      <c r="L66" s="162"/>
      <c r="M66" s="162"/>
      <c r="N66" s="162"/>
      <c r="O66" s="162"/>
      <c r="P66" s="8"/>
      <c r="Q66" s="162"/>
      <c r="R66" s="161"/>
      <c r="S66" s="162"/>
      <c r="T66" s="161"/>
      <c r="U66" s="8"/>
      <c r="V66" s="8"/>
    </row>
    <row r="67" spans="1:22" ht="15.75" x14ac:dyDescent="0.25">
      <c r="A67" s="12">
        <v>49</v>
      </c>
      <c r="B67" s="22" t="s">
        <v>293</v>
      </c>
      <c r="C67" s="19" t="s">
        <v>264</v>
      </c>
      <c r="D67" s="8" t="s">
        <v>32</v>
      </c>
      <c r="E67" s="8">
        <v>16898</v>
      </c>
      <c r="F67" s="8">
        <f>E65</f>
        <v>16809</v>
      </c>
      <c r="G67" s="17">
        <f t="shared" si="420"/>
        <v>89</v>
      </c>
      <c r="H67" s="17">
        <f>H65</f>
        <v>1</v>
      </c>
      <c r="I67" s="17">
        <f t="shared" si="421"/>
        <v>89</v>
      </c>
      <c r="J67" s="8">
        <v>10704</v>
      </c>
      <c r="K67" s="8">
        <f>J65</f>
        <v>10525.2</v>
      </c>
      <c r="L67" s="17">
        <f t="shared" si="423"/>
        <v>178.79999999999927</v>
      </c>
      <c r="M67" s="17">
        <f>M65</f>
        <v>1</v>
      </c>
      <c r="N67" s="17">
        <f t="shared" si="424"/>
        <v>178.79999999999927</v>
      </c>
      <c r="O67" s="17">
        <f t="shared" si="425"/>
        <v>89.799999999999272</v>
      </c>
      <c r="P67" s="8">
        <f>P65+205</f>
        <v>30079</v>
      </c>
      <c r="Q67" s="17">
        <f>P65</f>
        <v>29874</v>
      </c>
      <c r="R67" s="19">
        <f t="shared" si="427"/>
        <v>205</v>
      </c>
      <c r="S67" s="17">
        <f>S65</f>
        <v>1</v>
      </c>
      <c r="T67" s="19">
        <f t="shared" si="428"/>
        <v>205</v>
      </c>
      <c r="U67" s="8">
        <v>2.7</v>
      </c>
      <c r="V67" s="8">
        <v>0.92200000000000004</v>
      </c>
    </row>
    <row r="68" spans="1:22" ht="15.75" x14ac:dyDescent="0.25">
      <c r="A68" s="12">
        <v>50</v>
      </c>
      <c r="B68" s="22" t="s">
        <v>294</v>
      </c>
      <c r="C68" s="19" t="s">
        <v>264</v>
      </c>
      <c r="D68" s="8" t="s">
        <v>32</v>
      </c>
      <c r="E68" s="8">
        <v>17015.5</v>
      </c>
      <c r="F68" s="8">
        <f t="shared" si="419"/>
        <v>16898</v>
      </c>
      <c r="G68" s="17">
        <f t="shared" si="420"/>
        <v>117.5</v>
      </c>
      <c r="H68" s="17">
        <f t="shared" si="241"/>
        <v>1</v>
      </c>
      <c r="I68" s="17">
        <f t="shared" si="421"/>
        <v>117.5</v>
      </c>
      <c r="J68" s="8">
        <v>10818.9</v>
      </c>
      <c r="K68" s="8">
        <f t="shared" si="422"/>
        <v>10704</v>
      </c>
      <c r="L68" s="17">
        <f t="shared" si="423"/>
        <v>114.89999999999964</v>
      </c>
      <c r="M68" s="17">
        <f t="shared" si="244"/>
        <v>1</v>
      </c>
      <c r="N68" s="17">
        <f t="shared" si="424"/>
        <v>114.89999999999964</v>
      </c>
      <c r="O68" s="17">
        <f t="shared" si="425"/>
        <v>-2.6000000000003638</v>
      </c>
      <c r="P68" s="8">
        <v>30251</v>
      </c>
      <c r="Q68" s="17">
        <f t="shared" si="426"/>
        <v>30079</v>
      </c>
      <c r="R68" s="19">
        <f t="shared" si="427"/>
        <v>172</v>
      </c>
      <c r="S68" s="17">
        <f t="shared" si="248"/>
        <v>1</v>
      </c>
      <c r="T68" s="19">
        <f t="shared" si="428"/>
        <v>172</v>
      </c>
      <c r="U68" s="8">
        <v>3.46</v>
      </c>
      <c r="V68" s="8">
        <v>0.89</v>
      </c>
    </row>
    <row r="69" spans="1:22" ht="15.75" x14ac:dyDescent="0.25">
      <c r="A69" s="12">
        <v>51</v>
      </c>
      <c r="B69" s="22" t="s">
        <v>295</v>
      </c>
      <c r="C69" s="19" t="s">
        <v>264</v>
      </c>
      <c r="D69" s="8" t="s">
        <v>32</v>
      </c>
      <c r="E69" s="8">
        <v>17297.099999999999</v>
      </c>
      <c r="F69" s="8">
        <f t="shared" si="419"/>
        <v>17015.5</v>
      </c>
      <c r="G69" s="17">
        <f t="shared" si="420"/>
        <v>281.59999999999854</v>
      </c>
      <c r="H69" s="17">
        <f t="shared" si="241"/>
        <v>1</v>
      </c>
      <c r="I69" s="17">
        <f t="shared" si="421"/>
        <v>281.59999999999854</v>
      </c>
      <c r="J69" s="8">
        <v>10949.7</v>
      </c>
      <c r="K69" s="8">
        <f t="shared" si="422"/>
        <v>10818.9</v>
      </c>
      <c r="L69" s="17">
        <f t="shared" si="423"/>
        <v>130.80000000000109</v>
      </c>
      <c r="M69" s="17">
        <f t="shared" si="244"/>
        <v>1</v>
      </c>
      <c r="N69" s="17">
        <f t="shared" si="424"/>
        <v>130.80000000000109</v>
      </c>
      <c r="O69" s="17">
        <f t="shared" si="425"/>
        <v>-150.79999999999745</v>
      </c>
      <c r="P69" s="8">
        <v>30443</v>
      </c>
      <c r="Q69" s="17">
        <f t="shared" si="426"/>
        <v>30251</v>
      </c>
      <c r="R69" s="19">
        <f t="shared" si="427"/>
        <v>192</v>
      </c>
      <c r="S69" s="17">
        <f t="shared" si="248"/>
        <v>1</v>
      </c>
      <c r="T69" s="19">
        <f t="shared" si="428"/>
        <v>192</v>
      </c>
      <c r="U69" s="8">
        <v>3.28</v>
      </c>
      <c r="V69" s="8">
        <v>0.96</v>
      </c>
    </row>
    <row r="70" spans="1:22" ht="15.75" x14ac:dyDescent="0.25">
      <c r="A70" s="12">
        <v>52</v>
      </c>
      <c r="B70" s="22" t="s">
        <v>296</v>
      </c>
      <c r="C70" s="19" t="s">
        <v>264</v>
      </c>
      <c r="D70" s="8" t="s">
        <v>32</v>
      </c>
      <c r="E70" s="8">
        <v>17636.599999999999</v>
      </c>
      <c r="F70" s="8">
        <f t="shared" si="419"/>
        <v>17297.099999999999</v>
      </c>
      <c r="G70" s="17">
        <f t="shared" si="420"/>
        <v>339.5</v>
      </c>
      <c r="H70" s="17">
        <f t="shared" si="241"/>
        <v>1</v>
      </c>
      <c r="I70" s="17">
        <f t="shared" si="421"/>
        <v>339.5</v>
      </c>
      <c r="J70" s="8">
        <v>11047.1</v>
      </c>
      <c r="K70" s="8">
        <f t="shared" si="422"/>
        <v>10949.7</v>
      </c>
      <c r="L70" s="17">
        <f t="shared" si="423"/>
        <v>97.399999999999636</v>
      </c>
      <c r="M70" s="17">
        <f t="shared" si="244"/>
        <v>1</v>
      </c>
      <c r="N70" s="17">
        <f t="shared" si="424"/>
        <v>97.399999999999636</v>
      </c>
      <c r="O70" s="17">
        <f t="shared" si="425"/>
        <v>-242.10000000000036</v>
      </c>
      <c r="P70" s="8">
        <v>30590</v>
      </c>
      <c r="Q70" s="17">
        <f t="shared" si="426"/>
        <v>30443</v>
      </c>
      <c r="R70" s="19">
        <f t="shared" si="427"/>
        <v>147</v>
      </c>
      <c r="S70" s="17">
        <f t="shared" si="248"/>
        <v>1</v>
      </c>
      <c r="T70" s="19">
        <f t="shared" si="428"/>
        <v>147</v>
      </c>
      <c r="U70" s="8">
        <v>3.8</v>
      </c>
      <c r="V70" s="8">
        <v>0.96</v>
      </c>
    </row>
    <row r="71" spans="1:22" ht="15.75" x14ac:dyDescent="0.25">
      <c r="A71" s="12">
        <v>53</v>
      </c>
      <c r="B71" s="22" t="s">
        <v>297</v>
      </c>
      <c r="C71" s="19" t="s">
        <v>264</v>
      </c>
      <c r="D71" s="8" t="s">
        <v>32</v>
      </c>
      <c r="E71" s="8">
        <v>17936.2</v>
      </c>
      <c r="F71" s="8">
        <f t="shared" si="419"/>
        <v>17636.599999999999</v>
      </c>
      <c r="G71" s="17">
        <f t="shared" si="420"/>
        <v>299.60000000000218</v>
      </c>
      <c r="H71" s="17">
        <f t="shared" si="241"/>
        <v>1</v>
      </c>
      <c r="I71" s="17">
        <f t="shared" si="421"/>
        <v>299.60000000000218</v>
      </c>
      <c r="J71" s="8">
        <v>11161.8</v>
      </c>
      <c r="K71" s="8">
        <f t="shared" si="422"/>
        <v>11047.1</v>
      </c>
      <c r="L71" s="17">
        <f t="shared" si="423"/>
        <v>114.69999999999891</v>
      </c>
      <c r="M71" s="17">
        <f t="shared" si="244"/>
        <v>1</v>
      </c>
      <c r="N71" s="17">
        <f t="shared" si="424"/>
        <v>114.69999999999891</v>
      </c>
      <c r="O71" s="17">
        <f t="shared" si="425"/>
        <v>-184.90000000000327</v>
      </c>
      <c r="P71" s="8">
        <v>30772</v>
      </c>
      <c r="Q71" s="17">
        <f t="shared" si="426"/>
        <v>30590</v>
      </c>
      <c r="R71" s="19">
        <f t="shared" si="427"/>
        <v>182</v>
      </c>
      <c r="S71" s="17">
        <f t="shared" si="248"/>
        <v>1</v>
      </c>
      <c r="T71" s="19">
        <f t="shared" si="428"/>
        <v>182</v>
      </c>
      <c r="U71" s="8">
        <v>3.2</v>
      </c>
      <c r="V71" s="8">
        <v>0.95</v>
      </c>
    </row>
    <row r="72" spans="1:22" ht="15.75" x14ac:dyDescent="0.25">
      <c r="A72" s="12">
        <v>54</v>
      </c>
      <c r="B72" s="22" t="s">
        <v>298</v>
      </c>
      <c r="C72" s="19" t="s">
        <v>264</v>
      </c>
      <c r="D72" s="8" t="s">
        <v>32</v>
      </c>
      <c r="E72" s="8">
        <v>18155.7</v>
      </c>
      <c r="F72" s="8">
        <f t="shared" ref="F72" si="429">E71</f>
        <v>17936.2</v>
      </c>
      <c r="G72" s="17">
        <f t="shared" ref="G72" si="430">E72-F72</f>
        <v>219.5</v>
      </c>
      <c r="H72" s="17">
        <f t="shared" si="241"/>
        <v>1</v>
      </c>
      <c r="I72" s="17">
        <f t="shared" ref="I72" si="431">G72*H72</f>
        <v>219.5</v>
      </c>
      <c r="J72" s="8">
        <v>11343.5</v>
      </c>
      <c r="K72" s="8">
        <f t="shared" ref="K72" si="432">J71</f>
        <v>11161.8</v>
      </c>
      <c r="L72" s="17">
        <f t="shared" ref="L72" si="433">J72-K72</f>
        <v>181.70000000000073</v>
      </c>
      <c r="M72" s="17">
        <f t="shared" si="244"/>
        <v>1</v>
      </c>
      <c r="N72" s="17">
        <f t="shared" ref="N72" si="434">L72*M72</f>
        <v>181.70000000000073</v>
      </c>
      <c r="O72" s="17">
        <f t="shared" ref="O72" si="435">N72-I72</f>
        <v>-37.799999999999272</v>
      </c>
      <c r="P72" s="8">
        <v>30998</v>
      </c>
      <c r="Q72" s="17">
        <f t="shared" ref="Q72" si="436">P71</f>
        <v>30772</v>
      </c>
      <c r="R72" s="19">
        <f t="shared" ref="R72" si="437">P72-Q72</f>
        <v>226</v>
      </c>
      <c r="S72" s="17">
        <f t="shared" si="248"/>
        <v>1</v>
      </c>
      <c r="T72" s="19">
        <f t="shared" ref="T72" si="438">R72*S72</f>
        <v>226</v>
      </c>
      <c r="U72" s="8">
        <v>3.1</v>
      </c>
      <c r="V72" s="8">
        <v>0.9</v>
      </c>
    </row>
    <row r="73" spans="1:22" ht="15.75" x14ac:dyDescent="0.25">
      <c r="A73" s="12">
        <v>55</v>
      </c>
      <c r="B73" s="22" t="s">
        <v>299</v>
      </c>
      <c r="C73" s="19" t="s">
        <v>264</v>
      </c>
      <c r="D73" s="8" t="s">
        <v>32</v>
      </c>
      <c r="E73" s="8">
        <v>18324.8</v>
      </c>
      <c r="F73" s="8">
        <f t="shared" ref="F73" si="439">E72</f>
        <v>18155.7</v>
      </c>
      <c r="G73" s="17">
        <f t="shared" ref="G73" si="440">E73-F73</f>
        <v>169.09999999999854</v>
      </c>
      <c r="H73" s="17">
        <f t="shared" si="241"/>
        <v>1</v>
      </c>
      <c r="I73" s="17">
        <f t="shared" ref="I73" si="441">G73*H73</f>
        <v>169.09999999999854</v>
      </c>
      <c r="J73" s="8">
        <v>11542.6</v>
      </c>
      <c r="K73" s="8">
        <f t="shared" ref="K73" si="442">J72</f>
        <v>11343.5</v>
      </c>
      <c r="L73" s="17">
        <f t="shared" ref="L73:L78" si="443">J73-K73</f>
        <v>199.10000000000036</v>
      </c>
      <c r="M73" s="17">
        <f t="shared" si="244"/>
        <v>1</v>
      </c>
      <c r="N73" s="17">
        <f t="shared" ref="N73" si="444">L73*M73</f>
        <v>199.10000000000036</v>
      </c>
      <c r="O73" s="17">
        <f t="shared" ref="O73" si="445">N73-I73</f>
        <v>30.000000000001819</v>
      </c>
      <c r="P73" s="8">
        <v>31252</v>
      </c>
      <c r="Q73" s="17">
        <f t="shared" ref="Q73" si="446">P72</f>
        <v>30998</v>
      </c>
      <c r="R73" s="19">
        <f t="shared" ref="R73" si="447">P73-Q73</f>
        <v>254</v>
      </c>
      <c r="S73" s="17">
        <f t="shared" si="248"/>
        <v>1</v>
      </c>
      <c r="T73" s="19">
        <f t="shared" ref="T73" si="448">R73*S73</f>
        <v>254</v>
      </c>
      <c r="U73" s="8">
        <v>3.2</v>
      </c>
      <c r="V73" s="8">
        <v>0.9</v>
      </c>
    </row>
    <row r="74" spans="1:22" ht="15.75" x14ac:dyDescent="0.25">
      <c r="A74" s="12">
        <v>56</v>
      </c>
      <c r="B74" s="22" t="s">
        <v>300</v>
      </c>
      <c r="C74" s="19" t="s">
        <v>264</v>
      </c>
      <c r="D74" s="8" t="s">
        <v>32</v>
      </c>
      <c r="E74" s="8">
        <f>E73+112</f>
        <v>18436.8</v>
      </c>
      <c r="F74" s="8">
        <f t="shared" ref="F74:F78" si="449">E73</f>
        <v>18324.8</v>
      </c>
      <c r="G74" s="17">
        <f t="shared" ref="G74:G78" si="450">E74-F74</f>
        <v>112</v>
      </c>
      <c r="H74" s="17">
        <f t="shared" si="241"/>
        <v>1</v>
      </c>
      <c r="I74" s="17">
        <f t="shared" ref="I74:I78" si="451">G74*H74</f>
        <v>112</v>
      </c>
      <c r="J74" s="8">
        <f>J73+100</f>
        <v>11642.6</v>
      </c>
      <c r="K74" s="8">
        <f t="shared" ref="K74:K78" si="452">J73</f>
        <v>11542.6</v>
      </c>
      <c r="L74" s="17">
        <f t="shared" si="443"/>
        <v>100</v>
      </c>
      <c r="M74" s="17">
        <f t="shared" si="244"/>
        <v>1</v>
      </c>
      <c r="N74" s="17">
        <f t="shared" ref="N74:N78" si="453">L74*M74</f>
        <v>100</v>
      </c>
      <c r="O74" s="17">
        <f t="shared" ref="O74:O78" si="454">N74-I74</f>
        <v>-12</v>
      </c>
      <c r="P74" s="8">
        <f>P73+240</f>
        <v>31492</v>
      </c>
      <c r="Q74" s="17">
        <f t="shared" ref="Q74:Q78" si="455">P73</f>
        <v>31252</v>
      </c>
      <c r="R74" s="19">
        <f t="shared" ref="R74:R78" si="456">P74-Q74</f>
        <v>240</v>
      </c>
      <c r="S74" s="17">
        <f t="shared" si="248"/>
        <v>1</v>
      </c>
      <c r="T74" s="19">
        <f t="shared" ref="T74:T78" si="457">R74*S74</f>
        <v>240</v>
      </c>
      <c r="U74" s="8">
        <v>2.5</v>
      </c>
      <c r="V74" s="8">
        <v>0.9</v>
      </c>
    </row>
    <row r="75" spans="1:22" ht="15.75" x14ac:dyDescent="0.25">
      <c r="A75" s="104">
        <v>57</v>
      </c>
      <c r="B75" s="22" t="s">
        <v>301</v>
      </c>
      <c r="C75" s="19" t="s">
        <v>264</v>
      </c>
      <c r="D75" s="8" t="s">
        <v>32</v>
      </c>
      <c r="E75" s="8">
        <v>18926.2</v>
      </c>
      <c r="F75" s="8">
        <f t="shared" si="449"/>
        <v>18436.8</v>
      </c>
      <c r="G75" s="17">
        <f t="shared" si="450"/>
        <v>489.40000000000146</v>
      </c>
      <c r="H75" s="17">
        <f t="shared" si="241"/>
        <v>1</v>
      </c>
      <c r="I75" s="17">
        <f t="shared" si="451"/>
        <v>489.40000000000146</v>
      </c>
      <c r="J75" s="8">
        <v>11891.3</v>
      </c>
      <c r="K75" s="8">
        <f t="shared" si="452"/>
        <v>11642.6</v>
      </c>
      <c r="L75" s="17">
        <f t="shared" si="443"/>
        <v>248.69999999999891</v>
      </c>
      <c r="M75" s="17">
        <f t="shared" si="244"/>
        <v>1</v>
      </c>
      <c r="N75" s="17">
        <f t="shared" si="453"/>
        <v>248.69999999999891</v>
      </c>
      <c r="O75" s="17">
        <f t="shared" si="454"/>
        <v>-240.70000000000255</v>
      </c>
      <c r="P75" s="8">
        <v>31726.3</v>
      </c>
      <c r="Q75" s="17">
        <f t="shared" si="455"/>
        <v>31492</v>
      </c>
      <c r="R75" s="19">
        <f t="shared" si="456"/>
        <v>234.29999999999927</v>
      </c>
      <c r="S75" s="17">
        <f t="shared" si="248"/>
        <v>1</v>
      </c>
      <c r="T75" s="19">
        <f t="shared" si="457"/>
        <v>234.29999999999927</v>
      </c>
      <c r="U75" s="8">
        <v>3.2</v>
      </c>
      <c r="V75" s="8">
        <v>0.9</v>
      </c>
    </row>
    <row r="76" spans="1:22" ht="15.75" x14ac:dyDescent="0.25">
      <c r="A76" s="105">
        <v>58</v>
      </c>
      <c r="B76" s="22" t="s">
        <v>302</v>
      </c>
      <c r="C76" s="111" t="s">
        <v>264</v>
      </c>
      <c r="D76" s="8" t="s">
        <v>32</v>
      </c>
      <c r="E76" s="8">
        <v>19384.400000000001</v>
      </c>
      <c r="F76" s="8">
        <f t="shared" si="449"/>
        <v>18926.2</v>
      </c>
      <c r="G76" s="106">
        <f t="shared" si="450"/>
        <v>458.20000000000073</v>
      </c>
      <c r="H76" s="106">
        <f t="shared" si="241"/>
        <v>1</v>
      </c>
      <c r="I76" s="106">
        <f t="shared" si="451"/>
        <v>458.20000000000073</v>
      </c>
      <c r="J76" s="8">
        <v>12088.4</v>
      </c>
      <c r="K76" s="8">
        <f t="shared" si="452"/>
        <v>11891.3</v>
      </c>
      <c r="L76" s="106">
        <f t="shared" si="443"/>
        <v>197.10000000000036</v>
      </c>
      <c r="M76" s="106">
        <f t="shared" si="244"/>
        <v>1</v>
      </c>
      <c r="N76" s="106">
        <f t="shared" si="453"/>
        <v>197.10000000000036</v>
      </c>
      <c r="O76" s="106">
        <f t="shared" si="454"/>
        <v>-261.10000000000036</v>
      </c>
      <c r="P76" s="8">
        <v>32016</v>
      </c>
      <c r="Q76" s="106">
        <f t="shared" si="455"/>
        <v>31726.3</v>
      </c>
      <c r="R76" s="111">
        <f t="shared" si="456"/>
        <v>289.70000000000073</v>
      </c>
      <c r="S76" s="106">
        <f t="shared" si="248"/>
        <v>1</v>
      </c>
      <c r="T76" s="111">
        <f t="shared" si="457"/>
        <v>289.70000000000073</v>
      </c>
      <c r="U76" s="8">
        <v>3.1</v>
      </c>
      <c r="V76" s="8">
        <v>0.9</v>
      </c>
    </row>
    <row r="77" spans="1:22" ht="15.75" x14ac:dyDescent="0.25">
      <c r="A77" s="120">
        <v>59</v>
      </c>
      <c r="B77" s="116" t="s">
        <v>303</v>
      </c>
      <c r="C77" s="118" t="s">
        <v>264</v>
      </c>
      <c r="D77" s="8" t="s">
        <v>32</v>
      </c>
      <c r="E77" s="8">
        <v>19825.7</v>
      </c>
      <c r="F77" s="8">
        <f t="shared" si="449"/>
        <v>19384.400000000001</v>
      </c>
      <c r="G77" s="119">
        <f t="shared" si="450"/>
        <v>441.29999999999927</v>
      </c>
      <c r="H77" s="119">
        <f t="shared" si="241"/>
        <v>1</v>
      </c>
      <c r="I77" s="119">
        <f t="shared" si="451"/>
        <v>441.29999999999927</v>
      </c>
      <c r="J77" s="8">
        <v>12268.2</v>
      </c>
      <c r="K77" s="8">
        <f t="shared" si="452"/>
        <v>12088.4</v>
      </c>
      <c r="L77" s="119">
        <f t="shared" si="443"/>
        <v>179.80000000000109</v>
      </c>
      <c r="M77" s="119">
        <f t="shared" si="244"/>
        <v>1</v>
      </c>
      <c r="N77" s="119">
        <f t="shared" si="453"/>
        <v>179.80000000000109</v>
      </c>
      <c r="O77" s="119">
        <f t="shared" si="454"/>
        <v>-261.49999999999818</v>
      </c>
      <c r="P77" s="8">
        <v>32312.799999999999</v>
      </c>
      <c r="Q77" s="119">
        <f t="shared" si="455"/>
        <v>32016</v>
      </c>
      <c r="R77" s="118">
        <f t="shared" si="456"/>
        <v>296.79999999999927</v>
      </c>
      <c r="S77" s="119">
        <f t="shared" si="248"/>
        <v>1</v>
      </c>
      <c r="T77" s="118">
        <f t="shared" si="457"/>
        <v>296.79999999999927</v>
      </c>
      <c r="U77" s="8">
        <v>3</v>
      </c>
      <c r="V77" s="8">
        <v>0.9</v>
      </c>
    </row>
    <row r="78" spans="1:22" ht="15.75" x14ac:dyDescent="0.25">
      <c r="A78" s="120">
        <v>60</v>
      </c>
      <c r="B78" s="116" t="s">
        <v>305</v>
      </c>
      <c r="C78" s="118" t="s">
        <v>264</v>
      </c>
      <c r="D78" s="8" t="s">
        <v>32</v>
      </c>
      <c r="E78" s="8">
        <v>20351.400000000001</v>
      </c>
      <c r="F78" s="8">
        <f t="shared" si="449"/>
        <v>19825.7</v>
      </c>
      <c r="G78" s="119">
        <f t="shared" si="450"/>
        <v>525.70000000000073</v>
      </c>
      <c r="H78" s="119">
        <f t="shared" si="241"/>
        <v>1</v>
      </c>
      <c r="I78" s="119">
        <f t="shared" si="451"/>
        <v>525.70000000000073</v>
      </c>
      <c r="J78" s="8">
        <v>12481.7</v>
      </c>
      <c r="K78" s="8">
        <f t="shared" si="452"/>
        <v>12268.2</v>
      </c>
      <c r="L78" s="119">
        <f t="shared" si="443"/>
        <v>213.5</v>
      </c>
      <c r="M78" s="119">
        <f t="shared" si="244"/>
        <v>1</v>
      </c>
      <c r="N78" s="119">
        <f t="shared" si="453"/>
        <v>213.5</v>
      </c>
      <c r="O78" s="119">
        <f t="shared" si="454"/>
        <v>-312.20000000000073</v>
      </c>
      <c r="P78" s="8">
        <v>32677.7</v>
      </c>
      <c r="Q78" s="119">
        <f t="shared" si="455"/>
        <v>32312.799999999999</v>
      </c>
      <c r="R78" s="118">
        <f t="shared" si="456"/>
        <v>364.90000000000146</v>
      </c>
      <c r="S78" s="119">
        <f t="shared" si="248"/>
        <v>1</v>
      </c>
      <c r="T78" s="118">
        <f t="shared" si="457"/>
        <v>364.90000000000146</v>
      </c>
      <c r="U78" s="8">
        <v>3.5</v>
      </c>
      <c r="V78" s="8">
        <v>0.9</v>
      </c>
    </row>
    <row r="79" spans="1:22" ht="15.75" x14ac:dyDescent="0.25">
      <c r="A79" s="164"/>
      <c r="B79" s="116"/>
      <c r="C79" s="161"/>
      <c r="D79" s="8"/>
      <c r="E79" s="8"/>
      <c r="F79" s="8"/>
      <c r="G79" s="162"/>
      <c r="H79" s="162"/>
      <c r="I79" s="162"/>
      <c r="J79" s="8"/>
      <c r="K79" s="8"/>
      <c r="L79" s="162"/>
      <c r="M79" s="162"/>
      <c r="N79" s="162"/>
      <c r="O79" s="162"/>
      <c r="P79" s="8"/>
      <c r="Q79" s="162"/>
      <c r="R79" s="161"/>
      <c r="S79" s="162"/>
      <c r="T79" s="161"/>
      <c r="U79" s="8"/>
      <c r="V79" s="8"/>
    </row>
    <row r="80" spans="1:22" ht="15.75" x14ac:dyDescent="0.25">
      <c r="A80" s="125">
        <v>61</v>
      </c>
      <c r="B80" s="116" t="s">
        <v>306</v>
      </c>
      <c r="C80" s="123" t="s">
        <v>264</v>
      </c>
      <c r="D80" s="8" t="s">
        <v>32</v>
      </c>
      <c r="E80" s="8">
        <v>20475.400000000001</v>
      </c>
      <c r="F80" s="8">
        <f t="shared" ref="F80" si="458">E78</f>
        <v>20351.400000000001</v>
      </c>
      <c r="G80" s="124">
        <f t="shared" ref="G80" si="459">E80-F80</f>
        <v>124</v>
      </c>
      <c r="H80" s="124">
        <f>H78</f>
        <v>1</v>
      </c>
      <c r="I80" s="124">
        <f t="shared" ref="I80" si="460">G80*H80</f>
        <v>124</v>
      </c>
      <c r="J80" s="8">
        <v>12743.8</v>
      </c>
      <c r="K80" s="8">
        <f t="shared" ref="K80" si="461">J78</f>
        <v>12481.7</v>
      </c>
      <c r="L80" s="124">
        <f t="shared" ref="L80" si="462">J80-K80</f>
        <v>262.09999999999854</v>
      </c>
      <c r="M80" s="124">
        <f>M78</f>
        <v>1</v>
      </c>
      <c r="N80" s="124">
        <f t="shared" ref="N80" si="463">L80*M80</f>
        <v>262.09999999999854</v>
      </c>
      <c r="O80" s="124">
        <f t="shared" ref="O80" si="464">N80-I80</f>
        <v>138.09999999999854</v>
      </c>
      <c r="P80" s="8">
        <v>32968.699999999997</v>
      </c>
      <c r="Q80" s="124">
        <f t="shared" ref="Q80" si="465">P78</f>
        <v>32677.7</v>
      </c>
      <c r="R80" s="123">
        <f t="shared" ref="R80" si="466">P80-Q80</f>
        <v>290.99999999999636</v>
      </c>
      <c r="S80" s="124">
        <f>S78</f>
        <v>1</v>
      </c>
      <c r="T80" s="123">
        <f t="shared" ref="T80" si="467">R80*S80</f>
        <v>290.99999999999636</v>
      </c>
      <c r="U80" s="8">
        <v>1.3</v>
      </c>
      <c r="V80" s="8">
        <v>0.9</v>
      </c>
    </row>
    <row r="81" spans="1:22" ht="15.75" x14ac:dyDescent="0.25">
      <c r="A81" s="126">
        <v>62</v>
      </c>
      <c r="B81" s="116" t="s">
        <v>307</v>
      </c>
      <c r="C81" s="129" t="s">
        <v>264</v>
      </c>
      <c r="D81" s="8" t="s">
        <v>32</v>
      </c>
      <c r="E81" s="8">
        <v>20905.900000000001</v>
      </c>
      <c r="F81" s="8">
        <f t="shared" ref="F81" si="468">E80</f>
        <v>20475.400000000001</v>
      </c>
      <c r="G81" s="136">
        <f t="shared" ref="G81" si="469">E81-F81</f>
        <v>430.5</v>
      </c>
      <c r="H81" s="136">
        <f t="shared" si="241"/>
        <v>1</v>
      </c>
      <c r="I81" s="136">
        <f t="shared" ref="I81" si="470">G81*H81</f>
        <v>430.5</v>
      </c>
      <c r="J81" s="8">
        <v>12933.3</v>
      </c>
      <c r="K81" s="8">
        <f t="shared" ref="K81" si="471">J80</f>
        <v>12743.8</v>
      </c>
      <c r="L81" s="136">
        <f t="shared" ref="L81" si="472">J81-K81</f>
        <v>189.5</v>
      </c>
      <c r="M81" s="136">
        <f t="shared" si="244"/>
        <v>1</v>
      </c>
      <c r="N81" s="136">
        <f t="shared" ref="N81" si="473">L81*M81</f>
        <v>189.5</v>
      </c>
      <c r="O81" s="136">
        <f t="shared" ref="O81" si="474">N81-I81</f>
        <v>-241</v>
      </c>
      <c r="P81" s="8">
        <v>33274.6</v>
      </c>
      <c r="Q81" s="136">
        <f t="shared" ref="Q81" si="475">P80</f>
        <v>32968.699999999997</v>
      </c>
      <c r="R81" s="138">
        <f t="shared" ref="R81" si="476">P81-Q81</f>
        <v>305.90000000000146</v>
      </c>
      <c r="S81" s="136">
        <f t="shared" si="248"/>
        <v>1</v>
      </c>
      <c r="T81" s="138">
        <f t="shared" ref="T81" si="477">R81*S81</f>
        <v>305.90000000000146</v>
      </c>
      <c r="U81" s="8">
        <v>3.2</v>
      </c>
      <c r="V81" s="8">
        <v>0.9</v>
      </c>
    </row>
    <row r="82" spans="1:22" ht="15.75" x14ac:dyDescent="0.25">
      <c r="A82" s="135">
        <v>63</v>
      </c>
      <c r="B82" s="116" t="s">
        <v>309</v>
      </c>
      <c r="C82" s="138" t="s">
        <v>264</v>
      </c>
      <c r="D82" s="8" t="s">
        <v>32</v>
      </c>
      <c r="E82" s="8">
        <v>21649.1</v>
      </c>
      <c r="F82" s="8">
        <f t="shared" ref="F82" si="478">E81</f>
        <v>20905.900000000001</v>
      </c>
      <c r="G82" s="136">
        <f t="shared" ref="G82:G84" si="479">E82-F82</f>
        <v>743.19999999999709</v>
      </c>
      <c r="H82" s="136">
        <f t="shared" si="241"/>
        <v>1</v>
      </c>
      <c r="I82" s="136">
        <f t="shared" ref="I82:I84" si="480">G82*H82</f>
        <v>743.19999999999709</v>
      </c>
      <c r="J82" s="8">
        <v>13063.3</v>
      </c>
      <c r="K82" s="8">
        <f t="shared" ref="K82" si="481">J81</f>
        <v>12933.3</v>
      </c>
      <c r="L82" s="136">
        <f t="shared" ref="L82:L84" si="482">J82-K82</f>
        <v>130</v>
      </c>
      <c r="M82" s="136">
        <f t="shared" si="244"/>
        <v>1</v>
      </c>
      <c r="N82" s="136">
        <f t="shared" ref="N82:N84" si="483">L82*M82</f>
        <v>130</v>
      </c>
      <c r="O82" s="136">
        <f t="shared" ref="O82:O84" si="484">N82-I82</f>
        <v>-613.19999999999709</v>
      </c>
      <c r="P82" s="8">
        <v>33542.9</v>
      </c>
      <c r="Q82" s="136">
        <f t="shared" ref="Q82" si="485">P81</f>
        <v>33274.6</v>
      </c>
      <c r="R82" s="138">
        <f t="shared" ref="R82:R84" si="486">P82-Q82</f>
        <v>268.30000000000291</v>
      </c>
      <c r="S82" s="136">
        <f t="shared" si="248"/>
        <v>1</v>
      </c>
      <c r="T82" s="138">
        <f t="shared" ref="T82:T84" si="487">R82*S82</f>
        <v>268.30000000000291</v>
      </c>
      <c r="U82" s="8">
        <v>4</v>
      </c>
      <c r="V82" s="8">
        <v>0.9</v>
      </c>
    </row>
    <row r="83" spans="1:22" ht="15.75" x14ac:dyDescent="0.25">
      <c r="A83" s="146">
        <v>64</v>
      </c>
      <c r="B83" s="116" t="s">
        <v>310</v>
      </c>
      <c r="C83" s="144" t="s">
        <v>264</v>
      </c>
      <c r="D83" s="8" t="s">
        <v>32</v>
      </c>
      <c r="E83" s="8">
        <v>22617</v>
      </c>
      <c r="F83" s="8">
        <f t="shared" ref="F83" si="488">E81</f>
        <v>20905.900000000001</v>
      </c>
      <c r="G83" s="145">
        <f t="shared" si="479"/>
        <v>1711.0999999999985</v>
      </c>
      <c r="H83" s="145">
        <f>H81</f>
        <v>1</v>
      </c>
      <c r="I83" s="145">
        <f t="shared" si="480"/>
        <v>1711.0999999999985</v>
      </c>
      <c r="J83" s="8">
        <v>13116.4</v>
      </c>
      <c r="K83" s="8">
        <f t="shared" ref="K83" si="489">J81</f>
        <v>12933.3</v>
      </c>
      <c r="L83" s="145">
        <f t="shared" si="482"/>
        <v>183.10000000000036</v>
      </c>
      <c r="M83" s="145">
        <f>M81</f>
        <v>1</v>
      </c>
      <c r="N83" s="145">
        <f t="shared" si="483"/>
        <v>183.10000000000036</v>
      </c>
      <c r="O83" s="145">
        <f t="shared" si="484"/>
        <v>-1527.9999999999982</v>
      </c>
      <c r="P83" s="8">
        <v>33721</v>
      </c>
      <c r="Q83" s="145">
        <f t="shared" ref="Q83" si="490">P81</f>
        <v>33274.6</v>
      </c>
      <c r="R83" s="144">
        <f t="shared" si="486"/>
        <v>446.40000000000146</v>
      </c>
      <c r="S83" s="145">
        <f>S81</f>
        <v>1</v>
      </c>
      <c r="T83" s="144">
        <f t="shared" si="487"/>
        <v>446.40000000000146</v>
      </c>
      <c r="U83" s="8">
        <v>4</v>
      </c>
      <c r="V83" s="8">
        <v>0.9</v>
      </c>
    </row>
    <row r="84" spans="1:22" ht="15.75" x14ac:dyDescent="0.25">
      <c r="A84" s="151">
        <v>65</v>
      </c>
      <c r="B84" s="116" t="s">
        <v>316</v>
      </c>
      <c r="C84" s="149" t="s">
        <v>264</v>
      </c>
      <c r="D84" s="8" t="s">
        <v>32</v>
      </c>
      <c r="E84" s="8">
        <v>23511.4</v>
      </c>
      <c r="F84" s="8">
        <v>22617</v>
      </c>
      <c r="G84" s="150">
        <f t="shared" si="479"/>
        <v>894.40000000000146</v>
      </c>
      <c r="H84" s="150">
        <f>H81</f>
        <v>1</v>
      </c>
      <c r="I84" s="150">
        <f t="shared" si="480"/>
        <v>894.40000000000146</v>
      </c>
      <c r="J84" s="8">
        <v>13214.5</v>
      </c>
      <c r="K84" s="8">
        <v>13116.4</v>
      </c>
      <c r="L84" s="150">
        <f t="shared" si="482"/>
        <v>98.100000000000364</v>
      </c>
      <c r="M84" s="150">
        <f>M81</f>
        <v>1</v>
      </c>
      <c r="N84" s="150">
        <f t="shared" si="483"/>
        <v>98.100000000000364</v>
      </c>
      <c r="O84" s="150">
        <f t="shared" si="484"/>
        <v>-796.30000000000109</v>
      </c>
      <c r="P84" s="8">
        <v>33964.699999999997</v>
      </c>
      <c r="Q84" s="150">
        <v>33721</v>
      </c>
      <c r="R84" s="149">
        <f t="shared" si="486"/>
        <v>243.69999999999709</v>
      </c>
      <c r="S84" s="150">
        <f>S81</f>
        <v>1</v>
      </c>
      <c r="T84" s="149">
        <f t="shared" si="487"/>
        <v>243.69999999999709</v>
      </c>
      <c r="U84" s="8">
        <v>4</v>
      </c>
      <c r="V84" s="8">
        <v>0.9</v>
      </c>
    </row>
    <row r="85" spans="1:22" ht="15.75" x14ac:dyDescent="0.25">
      <c r="A85" s="139">
        <v>65</v>
      </c>
      <c r="B85" s="116" t="s">
        <v>319</v>
      </c>
      <c r="C85" s="142" t="s">
        <v>264</v>
      </c>
      <c r="D85" s="8" t="s">
        <v>32</v>
      </c>
      <c r="E85" s="8">
        <v>24367.1</v>
      </c>
      <c r="F85" s="8">
        <v>23511.4</v>
      </c>
      <c r="G85" s="140">
        <f t="shared" ref="G85:G87" si="491">E85-F85</f>
        <v>855.69999999999709</v>
      </c>
      <c r="H85" s="140">
        <f>H82</f>
        <v>1</v>
      </c>
      <c r="I85" s="140">
        <f t="shared" ref="I85:I87" si="492">G85*H85</f>
        <v>855.69999999999709</v>
      </c>
      <c r="J85" s="8">
        <v>13308.1</v>
      </c>
      <c r="K85" s="8">
        <v>13214.5</v>
      </c>
      <c r="L85" s="140">
        <f t="shared" ref="L85:L87" si="493">J85-K85</f>
        <v>93.600000000000364</v>
      </c>
      <c r="M85" s="140">
        <f>M82</f>
        <v>1</v>
      </c>
      <c r="N85" s="140">
        <f t="shared" ref="N85:N87" si="494">L85*M85</f>
        <v>93.600000000000364</v>
      </c>
      <c r="O85" s="140">
        <f t="shared" ref="O85:O87" si="495">N85-I85</f>
        <v>-762.09999999999673</v>
      </c>
      <c r="P85" s="8">
        <v>34218.6</v>
      </c>
      <c r="Q85" s="140">
        <v>33964.699999999997</v>
      </c>
      <c r="R85" s="142">
        <f t="shared" ref="R85:R87" si="496">P85-Q85</f>
        <v>253.90000000000146</v>
      </c>
      <c r="S85" s="140">
        <f>S82</f>
        <v>1</v>
      </c>
      <c r="T85" s="142">
        <f t="shared" ref="T85:T87" si="497">R85*S85</f>
        <v>253.90000000000146</v>
      </c>
      <c r="U85" s="8">
        <v>4</v>
      </c>
      <c r="V85" s="8">
        <v>0.9</v>
      </c>
    </row>
    <row r="86" spans="1:22" ht="15.75" x14ac:dyDescent="0.25">
      <c r="A86" s="170">
        <v>66</v>
      </c>
      <c r="B86" s="116" t="s">
        <v>321</v>
      </c>
      <c r="C86" s="168" t="s">
        <v>264</v>
      </c>
      <c r="D86" s="8" t="s">
        <v>32</v>
      </c>
      <c r="E86" s="8">
        <v>24987.200000000001</v>
      </c>
      <c r="F86" s="8">
        <v>24367.1</v>
      </c>
      <c r="G86" s="169">
        <f t="shared" si="491"/>
        <v>620.10000000000218</v>
      </c>
      <c r="H86" s="169">
        <f>H82</f>
        <v>1</v>
      </c>
      <c r="I86" s="169">
        <f t="shared" si="492"/>
        <v>620.10000000000218</v>
      </c>
      <c r="J86" s="8">
        <v>13497.8</v>
      </c>
      <c r="K86" s="8">
        <v>13308.1</v>
      </c>
      <c r="L86" s="169">
        <f t="shared" si="493"/>
        <v>189.69999999999891</v>
      </c>
      <c r="M86" s="169">
        <f>M82</f>
        <v>1</v>
      </c>
      <c r="N86" s="169">
        <f t="shared" si="494"/>
        <v>189.69999999999891</v>
      </c>
      <c r="O86" s="169">
        <f t="shared" si="495"/>
        <v>-430.40000000000327</v>
      </c>
      <c r="P86" s="8">
        <v>34537.199999999997</v>
      </c>
      <c r="Q86" s="8">
        <v>34218.6</v>
      </c>
      <c r="R86" s="168">
        <f t="shared" si="496"/>
        <v>318.59999999999854</v>
      </c>
      <c r="S86" s="169">
        <f>S82</f>
        <v>1</v>
      </c>
      <c r="T86" s="168">
        <f t="shared" si="497"/>
        <v>318.59999999999854</v>
      </c>
      <c r="U86" s="8">
        <v>4</v>
      </c>
      <c r="V86" s="8">
        <v>0.9</v>
      </c>
    </row>
    <row r="87" spans="1:22" ht="15.75" x14ac:dyDescent="0.25">
      <c r="A87" s="175">
        <v>67</v>
      </c>
      <c r="B87" s="116" t="s">
        <v>327</v>
      </c>
      <c r="C87" s="178" t="s">
        <v>264</v>
      </c>
      <c r="D87" s="8" t="s">
        <v>32</v>
      </c>
      <c r="E87" s="8">
        <v>25695.7</v>
      </c>
      <c r="F87" s="8">
        <v>24987.200000000001</v>
      </c>
      <c r="G87" s="176">
        <f t="shared" si="491"/>
        <v>708.5</v>
      </c>
      <c r="H87" s="176">
        <f>H82</f>
        <v>1</v>
      </c>
      <c r="I87" s="176">
        <f t="shared" si="492"/>
        <v>708.5</v>
      </c>
      <c r="J87" s="8">
        <v>13655.3</v>
      </c>
      <c r="K87" s="8">
        <v>13497.8</v>
      </c>
      <c r="L87" s="176">
        <f t="shared" si="493"/>
        <v>157.5</v>
      </c>
      <c r="M87" s="176">
        <f>M82</f>
        <v>1</v>
      </c>
      <c r="N87" s="176">
        <f t="shared" si="494"/>
        <v>157.5</v>
      </c>
      <c r="O87" s="176">
        <f t="shared" si="495"/>
        <v>-551</v>
      </c>
      <c r="P87" s="8">
        <v>34828.199999999997</v>
      </c>
      <c r="Q87" s="8">
        <v>34537.199999999997</v>
      </c>
      <c r="R87" s="178">
        <f t="shared" si="496"/>
        <v>291</v>
      </c>
      <c r="S87" s="176">
        <f>S82</f>
        <v>1</v>
      </c>
      <c r="T87" s="178">
        <f t="shared" si="497"/>
        <v>291</v>
      </c>
      <c r="U87" s="8">
        <v>4</v>
      </c>
      <c r="V87" s="8">
        <v>0.9</v>
      </c>
    </row>
    <row r="88" spans="1:22" ht="15.75" x14ac:dyDescent="0.25">
      <c r="A88" s="155">
        <v>68</v>
      </c>
      <c r="B88" s="116" t="s">
        <v>330</v>
      </c>
      <c r="C88" s="158" t="s">
        <v>264</v>
      </c>
      <c r="D88" s="8" t="s">
        <v>32</v>
      </c>
      <c r="E88" s="8">
        <v>26348.6</v>
      </c>
      <c r="F88" s="8">
        <v>25695.7</v>
      </c>
      <c r="G88" s="156">
        <f t="shared" ref="G88:G89" si="498">E88-F88</f>
        <v>652.89999999999782</v>
      </c>
      <c r="H88" s="156">
        <f>H83</f>
        <v>1</v>
      </c>
      <c r="I88" s="156">
        <f t="shared" ref="I88:I89" si="499">G88*H88</f>
        <v>652.89999999999782</v>
      </c>
      <c r="J88" s="8">
        <v>13820.8</v>
      </c>
      <c r="K88" s="8">
        <v>13655.3</v>
      </c>
      <c r="L88" s="156">
        <f t="shared" ref="L88:L89" si="500">J88-K88</f>
        <v>165.5</v>
      </c>
      <c r="M88" s="156">
        <f>M83</f>
        <v>1</v>
      </c>
      <c r="N88" s="156">
        <f t="shared" ref="N88:N89" si="501">L88*M88</f>
        <v>165.5</v>
      </c>
      <c r="O88" s="156">
        <f t="shared" ref="O88:O89" si="502">N88-I88</f>
        <v>-487.39999999999782</v>
      </c>
      <c r="P88" s="8">
        <v>35118</v>
      </c>
      <c r="Q88" s="8">
        <v>34828.199999999997</v>
      </c>
      <c r="R88" s="158">
        <f t="shared" ref="R88:R89" si="503">P88-Q88</f>
        <v>289.80000000000291</v>
      </c>
      <c r="S88" s="156">
        <f>S83</f>
        <v>1</v>
      </c>
      <c r="T88" s="158">
        <f t="shared" ref="T88:T89" si="504">R88*S88</f>
        <v>289.80000000000291</v>
      </c>
      <c r="U88" s="8">
        <v>4</v>
      </c>
      <c r="V88" s="8">
        <v>0.9</v>
      </c>
    </row>
    <row r="89" spans="1:22" ht="15.75" x14ac:dyDescent="0.25">
      <c r="A89" s="183">
        <v>69</v>
      </c>
      <c r="B89" s="116" t="s">
        <v>331</v>
      </c>
      <c r="C89" s="186" t="s">
        <v>264</v>
      </c>
      <c r="D89" s="8" t="s">
        <v>32</v>
      </c>
      <c r="E89" s="8">
        <v>26916.6</v>
      </c>
      <c r="F89" s="8">
        <v>26348.6</v>
      </c>
      <c r="G89" s="184">
        <f t="shared" si="498"/>
        <v>568</v>
      </c>
      <c r="H89" s="184">
        <f>H83</f>
        <v>1</v>
      </c>
      <c r="I89" s="184">
        <f t="shared" si="499"/>
        <v>568</v>
      </c>
      <c r="J89" s="8">
        <v>14020.1</v>
      </c>
      <c r="K89" s="8">
        <v>13820.8</v>
      </c>
      <c r="L89" s="184">
        <f t="shared" si="500"/>
        <v>199.30000000000109</v>
      </c>
      <c r="M89" s="184">
        <f>M83</f>
        <v>1</v>
      </c>
      <c r="N89" s="184">
        <f t="shared" si="501"/>
        <v>199.30000000000109</v>
      </c>
      <c r="O89" s="184">
        <f t="shared" si="502"/>
        <v>-368.69999999999891</v>
      </c>
      <c r="P89" s="8">
        <v>35439.300000000003</v>
      </c>
      <c r="Q89" s="8">
        <v>35118</v>
      </c>
      <c r="R89" s="186">
        <f t="shared" si="503"/>
        <v>321.30000000000291</v>
      </c>
      <c r="S89" s="184">
        <f>S83</f>
        <v>1</v>
      </c>
      <c r="T89" s="186">
        <f t="shared" si="504"/>
        <v>321.30000000000291</v>
      </c>
      <c r="U89" s="8">
        <v>4</v>
      </c>
      <c r="V89" s="8">
        <v>0.9</v>
      </c>
    </row>
    <row r="90" spans="1:22" ht="15.75" x14ac:dyDescent="0.25">
      <c r="A90" s="182">
        <v>70</v>
      </c>
      <c r="B90" s="116" t="s">
        <v>332</v>
      </c>
      <c r="C90" s="180" t="s">
        <v>264</v>
      </c>
      <c r="D90" s="8" t="s">
        <v>32</v>
      </c>
      <c r="E90" s="8">
        <v>27395.7</v>
      </c>
      <c r="F90" s="8">
        <v>26916.6</v>
      </c>
      <c r="G90" s="181">
        <f t="shared" ref="G90" si="505">E90-F90</f>
        <v>479.10000000000218</v>
      </c>
      <c r="H90" s="181">
        <f>H84</f>
        <v>1</v>
      </c>
      <c r="I90" s="181">
        <f t="shared" ref="I90" si="506">G90*H90</f>
        <v>479.10000000000218</v>
      </c>
      <c r="J90" s="8">
        <v>14229.3</v>
      </c>
      <c r="K90" s="8">
        <v>14020</v>
      </c>
      <c r="L90" s="181">
        <f t="shared" ref="L90" si="507">J90-K90</f>
        <v>209.29999999999927</v>
      </c>
      <c r="M90" s="181">
        <f>M84</f>
        <v>1</v>
      </c>
      <c r="N90" s="181">
        <f t="shared" ref="N90" si="508">L90*M90</f>
        <v>209.29999999999927</v>
      </c>
      <c r="O90" s="181">
        <f t="shared" ref="O90" si="509">N90-I90</f>
        <v>-269.80000000000291</v>
      </c>
      <c r="P90" s="8">
        <v>35781.699999999997</v>
      </c>
      <c r="Q90" s="8">
        <v>35439.300000000003</v>
      </c>
      <c r="R90" s="180">
        <f t="shared" ref="R90" si="510">P90-Q90</f>
        <v>342.39999999999418</v>
      </c>
      <c r="S90" s="181">
        <f>S84</f>
        <v>1</v>
      </c>
      <c r="T90" s="180">
        <f t="shared" ref="T90" si="511">R90*S90</f>
        <v>342.39999999999418</v>
      </c>
      <c r="U90" s="8">
        <v>4</v>
      </c>
      <c r="V90" s="8">
        <v>0.9</v>
      </c>
    </row>
    <row r="91" spans="1:22" s="3" customFormat="1" x14ac:dyDescent="0.25">
      <c r="A91" s="88"/>
      <c r="B91" s="88"/>
      <c r="C91" s="88"/>
      <c r="D91" s="88"/>
      <c r="E91" s="88"/>
      <c r="F91" s="88"/>
      <c r="G91" s="88"/>
      <c r="H91" s="88" t="s">
        <v>121</v>
      </c>
      <c r="I91" s="88">
        <f>SUM(I80:I88)</f>
        <v>6740.3999999999942</v>
      </c>
      <c r="J91" s="88"/>
      <c r="K91" s="88"/>
      <c r="L91" s="88"/>
      <c r="M91" s="88"/>
      <c r="N91" s="88">
        <f>SUM(N80:N88)</f>
        <v>1469.0999999999985</v>
      </c>
      <c r="O91" s="88">
        <f>SUM(O80:O88)</f>
        <v>-5271.2999999999956</v>
      </c>
      <c r="P91" s="88"/>
      <c r="Q91" s="88"/>
      <c r="R91" s="88"/>
      <c r="S91" s="88"/>
      <c r="T91" s="88">
        <f>SUM(T80:T88)</f>
        <v>2708.6000000000022</v>
      </c>
      <c r="U91" s="88"/>
      <c r="V91" s="88"/>
    </row>
  </sheetData>
  <mergeCells count="28">
    <mergeCell ref="D14:D25"/>
    <mergeCell ref="C14:C25"/>
    <mergeCell ref="D7:D11"/>
    <mergeCell ref="C7:C11"/>
    <mergeCell ref="D28:D39"/>
    <mergeCell ref="C28:C39"/>
    <mergeCell ref="A1:V1"/>
    <mergeCell ref="A2:V2"/>
    <mergeCell ref="B3:C3"/>
    <mergeCell ref="E3:I3"/>
    <mergeCell ref="J3:L3"/>
    <mergeCell ref="M3:N3"/>
    <mergeCell ref="O3:U3"/>
    <mergeCell ref="A5:A6"/>
    <mergeCell ref="B5:B6"/>
    <mergeCell ref="C5:C6"/>
    <mergeCell ref="D5:D6"/>
    <mergeCell ref="E5:I5"/>
    <mergeCell ref="J5:N5"/>
    <mergeCell ref="O5:O6"/>
    <mergeCell ref="U5:U6"/>
    <mergeCell ref="V5:V6"/>
    <mergeCell ref="B4:C4"/>
    <mergeCell ref="E4:I4"/>
    <mergeCell ref="J4:L4"/>
    <mergeCell ref="M4:N4"/>
    <mergeCell ref="O4:U4"/>
    <mergeCell ref="P5:T5"/>
  </mergeCells>
  <printOptions horizontalCentered="1"/>
  <pageMargins left="0" right="0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H103"/>
  <sheetViews>
    <sheetView tabSelected="1" view="pageBreakPreview" zoomScale="85" zoomScaleNormal="85" zoomScaleSheetLayoutView="85" workbookViewId="0">
      <selection activeCell="U90" sqref="U90"/>
    </sheetView>
  </sheetViews>
  <sheetFormatPr defaultRowHeight="15" x14ac:dyDescent="0.25"/>
  <cols>
    <col min="1" max="1" width="7.5703125" customWidth="1"/>
    <col min="2" max="2" width="13" customWidth="1"/>
    <col min="3" max="3" width="10.710937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48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50</v>
      </c>
      <c r="C3" s="207"/>
      <c r="D3" s="12" t="s">
        <v>6</v>
      </c>
      <c r="E3" s="201" t="s">
        <v>49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51</v>
      </c>
      <c r="W3" s="25"/>
    </row>
    <row r="4" spans="1:23" ht="15.75" x14ac:dyDescent="0.25">
      <c r="A4" s="12" t="s">
        <v>0</v>
      </c>
      <c r="B4" s="216" t="s">
        <v>59</v>
      </c>
      <c r="C4" s="216"/>
      <c r="D4" s="12" t="s">
        <v>9</v>
      </c>
      <c r="E4" s="207">
        <v>9845541622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 t="s">
        <v>52</v>
      </c>
      <c r="W4" s="25"/>
    </row>
    <row r="5" spans="1:23" ht="15.75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201" t="s">
        <v>17</v>
      </c>
      <c r="V5" s="201" t="s">
        <v>17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201"/>
      <c r="V6" s="201"/>
      <c r="W6" s="25" t="s">
        <v>66</v>
      </c>
    </row>
    <row r="7" spans="1:23" ht="15.75" x14ac:dyDescent="0.25">
      <c r="A7" s="12">
        <v>1</v>
      </c>
      <c r="B7" s="22" t="s">
        <v>29</v>
      </c>
      <c r="C7" s="19" t="s">
        <v>199</v>
      </c>
      <c r="D7" s="19" t="s">
        <v>58</v>
      </c>
      <c r="E7" s="17">
        <v>66.900000000000006</v>
      </c>
      <c r="F7" s="17">
        <v>62.4</v>
      </c>
      <c r="G7" s="19">
        <f t="shared" ref="G7:G11" si="0">E7-F7</f>
        <v>4.5000000000000071</v>
      </c>
      <c r="H7" s="17">
        <v>500</v>
      </c>
      <c r="I7" s="19">
        <f t="shared" ref="I7:I11" si="1">G7*H7</f>
        <v>2250.0000000000036</v>
      </c>
      <c r="J7" s="17">
        <v>7.5</v>
      </c>
      <c r="K7" s="17">
        <v>0.9</v>
      </c>
      <c r="L7" s="19">
        <f t="shared" ref="L7:L11" si="2">J7-K7</f>
        <v>6.6</v>
      </c>
      <c r="M7" s="17">
        <v>500</v>
      </c>
      <c r="N7" s="19">
        <f t="shared" ref="N7:N11" si="3">L7*M7</f>
        <v>3300</v>
      </c>
      <c r="O7" s="17">
        <f>N7-I7</f>
        <v>1049.9999999999964</v>
      </c>
      <c r="P7" s="17">
        <v>7.5</v>
      </c>
      <c r="Q7" s="17">
        <v>0.7</v>
      </c>
      <c r="R7" s="19">
        <f t="shared" ref="R7:R13" si="4">P7-Q7</f>
        <v>6.8</v>
      </c>
      <c r="S7" s="17">
        <v>500</v>
      </c>
      <c r="T7" s="19">
        <f t="shared" ref="T7:T13" si="5">R7*S7</f>
        <v>3400</v>
      </c>
      <c r="U7" s="17"/>
      <c r="V7" s="17"/>
      <c r="W7" s="25"/>
    </row>
    <row r="8" spans="1:23" ht="15.75" x14ac:dyDescent="0.25">
      <c r="A8" s="12"/>
      <c r="B8" s="22" t="s">
        <v>121</v>
      </c>
      <c r="C8" s="19"/>
      <c r="D8" s="19"/>
      <c r="E8" s="17"/>
      <c r="F8" s="17"/>
      <c r="G8" s="19"/>
      <c r="H8" s="17"/>
      <c r="I8" s="12">
        <f>SUM(I7)</f>
        <v>2250.0000000000036</v>
      </c>
      <c r="J8" s="17"/>
      <c r="K8" s="17"/>
      <c r="L8" s="19"/>
      <c r="M8" s="17"/>
      <c r="N8" s="12">
        <f t="shared" ref="N8:O8" si="6">SUM(N7)</f>
        <v>3300</v>
      </c>
      <c r="O8" s="12">
        <f t="shared" si="6"/>
        <v>1049.9999999999964</v>
      </c>
      <c r="P8" s="17"/>
      <c r="Q8" s="17"/>
      <c r="R8" s="19"/>
      <c r="S8" s="17"/>
      <c r="T8" s="12">
        <f>SUM(T7)</f>
        <v>3400</v>
      </c>
      <c r="U8" s="17"/>
      <c r="V8" s="17"/>
      <c r="W8" s="25"/>
    </row>
    <row r="9" spans="1:23" ht="15.75" x14ac:dyDescent="0.25">
      <c r="A9" s="12"/>
      <c r="B9" s="22"/>
      <c r="C9" s="19"/>
      <c r="D9" s="19"/>
      <c r="E9" s="17"/>
      <c r="F9" s="17"/>
      <c r="G9" s="19"/>
      <c r="H9" s="17"/>
      <c r="I9" s="19"/>
      <c r="J9" s="17"/>
      <c r="K9" s="17"/>
      <c r="L9" s="19"/>
      <c r="M9" s="17"/>
      <c r="N9" s="19"/>
      <c r="O9" s="17"/>
      <c r="P9" s="17"/>
      <c r="Q9" s="17"/>
      <c r="R9" s="19"/>
      <c r="S9" s="17"/>
      <c r="T9" s="19"/>
      <c r="U9" s="17"/>
      <c r="V9" s="17"/>
      <c r="W9" s="25"/>
    </row>
    <row r="10" spans="1:23" ht="15.75" x14ac:dyDescent="0.25">
      <c r="A10" s="12">
        <v>2</v>
      </c>
      <c r="B10" s="22" t="s">
        <v>30</v>
      </c>
      <c r="C10" s="193" t="s">
        <v>199</v>
      </c>
      <c r="D10" s="193" t="s">
        <v>58</v>
      </c>
      <c r="E10" s="17">
        <v>70.2</v>
      </c>
      <c r="F10" s="17">
        <f>E7</f>
        <v>66.900000000000006</v>
      </c>
      <c r="G10" s="19">
        <f t="shared" si="0"/>
        <v>3.2999999999999972</v>
      </c>
      <c r="H10" s="17">
        <v>500</v>
      </c>
      <c r="I10" s="19">
        <f t="shared" si="1"/>
        <v>1649.9999999999986</v>
      </c>
      <c r="J10" s="17">
        <v>14</v>
      </c>
      <c r="K10" s="17">
        <f>J7</f>
        <v>7.5</v>
      </c>
      <c r="L10" s="19">
        <f t="shared" si="2"/>
        <v>6.5</v>
      </c>
      <c r="M10" s="17">
        <v>500</v>
      </c>
      <c r="N10" s="19">
        <f t="shared" si="3"/>
        <v>3250</v>
      </c>
      <c r="O10" s="17">
        <f t="shared" ref="O10:O12" si="7">N10-I10</f>
        <v>1600.0000000000014</v>
      </c>
      <c r="P10" s="17">
        <v>14</v>
      </c>
      <c r="Q10" s="17">
        <f>P7</f>
        <v>7.5</v>
      </c>
      <c r="R10" s="19">
        <f t="shared" si="4"/>
        <v>6.5</v>
      </c>
      <c r="S10" s="17">
        <v>500</v>
      </c>
      <c r="T10" s="19">
        <f t="shared" si="5"/>
        <v>3250</v>
      </c>
      <c r="U10" s="17"/>
      <c r="V10" s="17"/>
      <c r="W10" s="25"/>
    </row>
    <row r="11" spans="1:23" ht="15.75" x14ac:dyDescent="0.25">
      <c r="A11" s="12">
        <v>3</v>
      </c>
      <c r="B11" s="22" t="s">
        <v>31</v>
      </c>
      <c r="C11" s="194"/>
      <c r="D11" s="194"/>
      <c r="E11" s="12">
        <v>75.2</v>
      </c>
      <c r="F11" s="17">
        <f t="shared" ref="F11" si="8">E10</f>
        <v>70.2</v>
      </c>
      <c r="G11" s="19">
        <f t="shared" si="0"/>
        <v>5</v>
      </c>
      <c r="H11" s="17">
        <v>500</v>
      </c>
      <c r="I11" s="19">
        <f t="shared" si="1"/>
        <v>2500</v>
      </c>
      <c r="J11" s="12">
        <v>16.5</v>
      </c>
      <c r="K11" s="17">
        <f t="shared" ref="K11" si="9">J10</f>
        <v>14</v>
      </c>
      <c r="L11" s="19">
        <f t="shared" si="2"/>
        <v>2.5</v>
      </c>
      <c r="M11" s="17">
        <v>500</v>
      </c>
      <c r="N11" s="19">
        <f t="shared" si="3"/>
        <v>1250</v>
      </c>
      <c r="O11" s="17">
        <f t="shared" si="7"/>
        <v>-1250</v>
      </c>
      <c r="P11" s="17">
        <v>16.5</v>
      </c>
      <c r="Q11" s="17">
        <f t="shared" ref="Q11:Q13" si="10">P10</f>
        <v>14</v>
      </c>
      <c r="R11" s="19">
        <f t="shared" si="4"/>
        <v>2.5</v>
      </c>
      <c r="S11" s="17">
        <v>500</v>
      </c>
      <c r="T11" s="19">
        <f t="shared" si="5"/>
        <v>1250</v>
      </c>
      <c r="U11" s="19"/>
      <c r="V11" s="19"/>
      <c r="W11" s="25"/>
    </row>
    <row r="12" spans="1:23" ht="15.75" x14ac:dyDescent="0.25">
      <c r="A12" s="12">
        <v>3</v>
      </c>
      <c r="B12" s="12" t="s">
        <v>56</v>
      </c>
      <c r="C12" s="194"/>
      <c r="D12" s="194"/>
      <c r="E12" s="12">
        <v>78.7</v>
      </c>
      <c r="F12" s="17">
        <f t="shared" ref="F12" si="11">E11</f>
        <v>75.2</v>
      </c>
      <c r="G12" s="19">
        <f t="shared" ref="G12" si="12">E12-F12</f>
        <v>3.5</v>
      </c>
      <c r="H12" s="17">
        <v>500</v>
      </c>
      <c r="I12" s="19">
        <f t="shared" ref="I12" si="13">G12*H12</f>
        <v>1750</v>
      </c>
      <c r="J12" s="12">
        <v>19.7</v>
      </c>
      <c r="K12" s="17">
        <f t="shared" ref="K12" si="14">J11</f>
        <v>16.5</v>
      </c>
      <c r="L12" s="19">
        <f t="shared" ref="L12" si="15">J12-K12</f>
        <v>3.1999999999999993</v>
      </c>
      <c r="M12" s="17">
        <v>500</v>
      </c>
      <c r="N12" s="19">
        <f t="shared" ref="N12" si="16">L12*M12</f>
        <v>1599.9999999999995</v>
      </c>
      <c r="O12" s="17">
        <f t="shared" si="7"/>
        <v>-150.00000000000045</v>
      </c>
      <c r="P12" s="12">
        <v>19.7</v>
      </c>
      <c r="Q12" s="17">
        <f t="shared" si="10"/>
        <v>16.5</v>
      </c>
      <c r="R12" s="19">
        <f t="shared" si="4"/>
        <v>3.1999999999999993</v>
      </c>
      <c r="S12" s="17">
        <v>500</v>
      </c>
      <c r="T12" s="19">
        <f t="shared" si="5"/>
        <v>1599.9999999999995</v>
      </c>
      <c r="U12" s="19"/>
      <c r="V12" s="19"/>
      <c r="W12" s="25"/>
    </row>
    <row r="13" spans="1:23" ht="15.75" x14ac:dyDescent="0.25">
      <c r="A13" s="12">
        <v>4</v>
      </c>
      <c r="B13" s="12" t="s">
        <v>64</v>
      </c>
      <c r="C13" s="194"/>
      <c r="D13" s="194"/>
      <c r="E13" s="12">
        <v>83.2</v>
      </c>
      <c r="F13" s="17">
        <f t="shared" ref="F13" si="17">E12</f>
        <v>78.7</v>
      </c>
      <c r="G13" s="19">
        <f t="shared" ref="G13" si="18">E13-F13</f>
        <v>4.5</v>
      </c>
      <c r="H13" s="17">
        <v>500</v>
      </c>
      <c r="I13" s="19">
        <f t="shared" ref="I13" si="19">G13*H13</f>
        <v>2250</v>
      </c>
      <c r="J13" s="12">
        <v>22.6</v>
      </c>
      <c r="K13" s="17">
        <f t="shared" ref="K13" si="20">J12</f>
        <v>19.7</v>
      </c>
      <c r="L13" s="19">
        <f t="shared" ref="L13" si="21">J13-K13</f>
        <v>2.9000000000000021</v>
      </c>
      <c r="M13" s="17">
        <v>500</v>
      </c>
      <c r="N13" s="19">
        <f t="shared" ref="N13" si="22">L13*M13</f>
        <v>1450.0000000000011</v>
      </c>
      <c r="O13" s="17">
        <f t="shared" ref="O13:O19" si="23">N13-I13</f>
        <v>-799.99999999999886</v>
      </c>
      <c r="P13" s="12">
        <v>22.6</v>
      </c>
      <c r="Q13" s="17">
        <f t="shared" si="10"/>
        <v>19.7</v>
      </c>
      <c r="R13" s="19">
        <f t="shared" si="4"/>
        <v>2.9000000000000021</v>
      </c>
      <c r="S13" s="17">
        <v>500</v>
      </c>
      <c r="T13" s="19">
        <f t="shared" si="5"/>
        <v>1450.0000000000011</v>
      </c>
      <c r="U13" s="19"/>
      <c r="V13" s="19"/>
      <c r="W13" s="25">
        <v>1450</v>
      </c>
    </row>
    <row r="14" spans="1:23" ht="15.75" x14ac:dyDescent="0.25">
      <c r="A14" s="12">
        <v>5</v>
      </c>
      <c r="B14" s="12" t="s">
        <v>103</v>
      </c>
      <c r="C14" s="194"/>
      <c r="D14" s="194"/>
      <c r="E14" s="12">
        <v>88.4</v>
      </c>
      <c r="F14" s="17">
        <f t="shared" ref="F14" si="24">E13</f>
        <v>83.2</v>
      </c>
      <c r="G14" s="19">
        <f t="shared" ref="G14" si="25">E14-F14</f>
        <v>5.2000000000000028</v>
      </c>
      <c r="H14" s="17">
        <v>500</v>
      </c>
      <c r="I14" s="19">
        <f t="shared" ref="I14" si="26">G14*H14</f>
        <v>2600.0000000000014</v>
      </c>
      <c r="J14" s="12">
        <v>23.8</v>
      </c>
      <c r="K14" s="17">
        <f t="shared" ref="K14" si="27">J13</f>
        <v>22.6</v>
      </c>
      <c r="L14" s="19">
        <f t="shared" ref="L14" si="28">J14-K14</f>
        <v>1.1999999999999993</v>
      </c>
      <c r="M14" s="17">
        <v>500</v>
      </c>
      <c r="N14" s="19">
        <f t="shared" ref="N14" si="29">L14*M14</f>
        <v>599.99999999999966</v>
      </c>
      <c r="O14" s="17">
        <f t="shared" si="23"/>
        <v>-2000.0000000000018</v>
      </c>
      <c r="P14" s="12">
        <v>23.8</v>
      </c>
      <c r="Q14" s="17">
        <f t="shared" ref="Q14" si="30">P13</f>
        <v>22.6</v>
      </c>
      <c r="R14" s="19">
        <f t="shared" ref="R14" si="31">P14-Q14</f>
        <v>1.1999999999999993</v>
      </c>
      <c r="S14" s="17">
        <v>500</v>
      </c>
      <c r="T14" s="19">
        <f t="shared" ref="T14" si="32">R14*S14</f>
        <v>599.99999999999966</v>
      </c>
      <c r="U14" s="19"/>
      <c r="V14" s="19"/>
      <c r="W14" s="25"/>
    </row>
    <row r="15" spans="1:23" ht="15.75" x14ac:dyDescent="0.25">
      <c r="A15" s="12">
        <v>6</v>
      </c>
      <c r="B15" s="22" t="s">
        <v>104</v>
      </c>
      <c r="C15" s="194"/>
      <c r="D15" s="194"/>
      <c r="E15" s="12">
        <v>92.5</v>
      </c>
      <c r="F15" s="17">
        <f t="shared" ref="F15" si="33">E14</f>
        <v>88.4</v>
      </c>
      <c r="G15" s="19">
        <f t="shared" ref="G15" si="34">E15-F15</f>
        <v>4.0999999999999943</v>
      </c>
      <c r="H15" s="17">
        <v>500</v>
      </c>
      <c r="I15" s="19">
        <f t="shared" ref="I15" si="35">G15*H15</f>
        <v>2049.9999999999973</v>
      </c>
      <c r="J15" s="12">
        <v>26.7</v>
      </c>
      <c r="K15" s="17">
        <f t="shared" ref="K15" si="36">J14</f>
        <v>23.8</v>
      </c>
      <c r="L15" s="19">
        <f t="shared" ref="L15" si="37">J15-K15</f>
        <v>2.8999999999999986</v>
      </c>
      <c r="M15" s="17">
        <v>500</v>
      </c>
      <c r="N15" s="19">
        <f t="shared" ref="N15" si="38">L15*M15</f>
        <v>1449.9999999999993</v>
      </c>
      <c r="O15" s="17">
        <f t="shared" si="23"/>
        <v>-599.99999999999795</v>
      </c>
      <c r="P15" s="12">
        <v>26.7</v>
      </c>
      <c r="Q15" s="17">
        <f t="shared" ref="Q15" si="39">P14</f>
        <v>23.8</v>
      </c>
      <c r="R15" s="19">
        <f t="shared" ref="R15" si="40">P15-Q15</f>
        <v>2.8999999999999986</v>
      </c>
      <c r="S15" s="17">
        <v>500</v>
      </c>
      <c r="T15" s="19">
        <f t="shared" ref="T15" si="41">R15*S15</f>
        <v>1449.9999999999993</v>
      </c>
      <c r="U15" s="19"/>
      <c r="V15" s="19"/>
      <c r="W15" s="25"/>
    </row>
    <row r="16" spans="1:23" ht="15.75" x14ac:dyDescent="0.25">
      <c r="A16" s="12">
        <v>7</v>
      </c>
      <c r="B16" s="22" t="s">
        <v>106</v>
      </c>
      <c r="C16" s="194"/>
      <c r="D16" s="194"/>
      <c r="E16" s="12">
        <v>96.7</v>
      </c>
      <c r="F16" s="17">
        <f t="shared" ref="F16" si="42">E15</f>
        <v>92.5</v>
      </c>
      <c r="G16" s="19">
        <f t="shared" ref="G16" si="43">E16-F16</f>
        <v>4.2000000000000028</v>
      </c>
      <c r="H16" s="17">
        <v>500</v>
      </c>
      <c r="I16" s="19">
        <f t="shared" ref="I16" si="44">G16*H16</f>
        <v>2100.0000000000014</v>
      </c>
      <c r="J16" s="12">
        <v>32.799999999999997</v>
      </c>
      <c r="K16" s="17">
        <f t="shared" ref="K16" si="45">J15</f>
        <v>26.7</v>
      </c>
      <c r="L16" s="19">
        <f t="shared" ref="L16" si="46">J16-K16</f>
        <v>6.0999999999999979</v>
      </c>
      <c r="M16" s="17">
        <v>500</v>
      </c>
      <c r="N16" s="19">
        <f t="shared" ref="N16" si="47">L16*M16</f>
        <v>3049.9999999999991</v>
      </c>
      <c r="O16" s="17">
        <f t="shared" si="23"/>
        <v>949.99999999999773</v>
      </c>
      <c r="P16" s="12">
        <v>32.799999999999997</v>
      </c>
      <c r="Q16" s="17">
        <f t="shared" ref="Q16" si="48">P15</f>
        <v>26.7</v>
      </c>
      <c r="R16" s="19">
        <f t="shared" ref="R16" si="49">P16-Q16</f>
        <v>6.0999999999999979</v>
      </c>
      <c r="S16" s="17">
        <v>500</v>
      </c>
      <c r="T16" s="19">
        <f t="shared" ref="T16" si="50">R16*S16</f>
        <v>3049.9999999999991</v>
      </c>
      <c r="U16" s="19"/>
      <c r="V16" s="19"/>
      <c r="W16" s="25"/>
    </row>
    <row r="17" spans="1:23" ht="15.75" x14ac:dyDescent="0.25">
      <c r="A17" s="12">
        <v>8</v>
      </c>
      <c r="B17" s="22" t="s">
        <v>107</v>
      </c>
      <c r="C17" s="194"/>
      <c r="D17" s="194"/>
      <c r="E17" s="12">
        <v>100.8</v>
      </c>
      <c r="F17" s="17">
        <f t="shared" ref="F17" si="51">E16</f>
        <v>96.7</v>
      </c>
      <c r="G17" s="19">
        <f t="shared" ref="G17" si="52">E17-F17</f>
        <v>4.0999999999999943</v>
      </c>
      <c r="H17" s="17">
        <v>500</v>
      </c>
      <c r="I17" s="19">
        <f t="shared" ref="I17" si="53">G17*H17</f>
        <v>2049.9999999999973</v>
      </c>
      <c r="J17" s="12">
        <v>39.1</v>
      </c>
      <c r="K17" s="17">
        <f t="shared" ref="K17" si="54">J16</f>
        <v>32.799999999999997</v>
      </c>
      <c r="L17" s="19">
        <f t="shared" ref="L17" si="55">J17-K17</f>
        <v>6.3000000000000043</v>
      </c>
      <c r="M17" s="17">
        <v>500</v>
      </c>
      <c r="N17" s="19">
        <f t="shared" ref="N17" si="56">L17*M17</f>
        <v>3150.0000000000023</v>
      </c>
      <c r="O17" s="17">
        <f t="shared" si="23"/>
        <v>1100.000000000005</v>
      </c>
      <c r="P17" s="12">
        <v>39.1</v>
      </c>
      <c r="Q17" s="17">
        <f t="shared" ref="Q17" si="57">P16</f>
        <v>32.799999999999997</v>
      </c>
      <c r="R17" s="19">
        <f t="shared" ref="R17" si="58">P17-Q17</f>
        <v>6.3000000000000043</v>
      </c>
      <c r="S17" s="17">
        <v>500</v>
      </c>
      <c r="T17" s="19">
        <f t="shared" ref="T17" si="59">R17*S17</f>
        <v>3150.0000000000023</v>
      </c>
      <c r="U17" s="19"/>
      <c r="V17" s="19"/>
      <c r="W17" s="25"/>
    </row>
    <row r="18" spans="1:23" ht="15.75" x14ac:dyDescent="0.25">
      <c r="A18" s="12">
        <v>9</v>
      </c>
      <c r="B18" s="22" t="s">
        <v>108</v>
      </c>
      <c r="C18" s="194"/>
      <c r="D18" s="194"/>
      <c r="E18" s="12">
        <v>105.3</v>
      </c>
      <c r="F18" s="17">
        <f t="shared" ref="F18" si="60">E17</f>
        <v>100.8</v>
      </c>
      <c r="G18" s="19">
        <f t="shared" ref="G18" si="61">E18-F18</f>
        <v>4.5</v>
      </c>
      <c r="H18" s="17">
        <v>500</v>
      </c>
      <c r="I18" s="19">
        <f t="shared" ref="I18" si="62">G18*H18</f>
        <v>2250</v>
      </c>
      <c r="J18" s="12">
        <v>44.8</v>
      </c>
      <c r="K18" s="17">
        <f t="shared" ref="K18" si="63">J17</f>
        <v>39.1</v>
      </c>
      <c r="L18" s="19">
        <f t="shared" ref="L18" si="64">J18-K18</f>
        <v>5.6999999999999957</v>
      </c>
      <c r="M18" s="17">
        <v>500</v>
      </c>
      <c r="N18" s="19">
        <f t="shared" ref="N18" si="65">L18*M18</f>
        <v>2849.9999999999977</v>
      </c>
      <c r="O18" s="17">
        <f t="shared" si="23"/>
        <v>599.99999999999773</v>
      </c>
      <c r="P18" s="12">
        <v>44.8</v>
      </c>
      <c r="Q18" s="17">
        <f t="shared" ref="Q18" si="66">P17</f>
        <v>39.1</v>
      </c>
      <c r="R18" s="19">
        <f t="shared" ref="R18" si="67">P18-Q18</f>
        <v>5.6999999999999957</v>
      </c>
      <c r="S18" s="17">
        <v>500</v>
      </c>
      <c r="T18" s="19">
        <f t="shared" ref="T18" si="68">R18*S18</f>
        <v>2849.9999999999977</v>
      </c>
      <c r="U18" s="19"/>
      <c r="V18" s="19"/>
      <c r="W18" s="25"/>
    </row>
    <row r="19" spans="1:23" ht="15.75" x14ac:dyDescent="0.25">
      <c r="A19" s="12">
        <v>10</v>
      </c>
      <c r="B19" s="22" t="s">
        <v>109</v>
      </c>
      <c r="C19" s="194"/>
      <c r="D19" s="194"/>
      <c r="E19" s="12">
        <v>108.5</v>
      </c>
      <c r="F19" s="17">
        <f t="shared" ref="F19" si="69">E18</f>
        <v>105.3</v>
      </c>
      <c r="G19" s="19">
        <f t="shared" ref="G19" si="70">E19-F19</f>
        <v>3.2000000000000028</v>
      </c>
      <c r="H19" s="17">
        <v>500</v>
      </c>
      <c r="I19" s="19">
        <f t="shared" ref="I19" si="71">G19*H19</f>
        <v>1600.0000000000014</v>
      </c>
      <c r="J19" s="12">
        <v>52.2</v>
      </c>
      <c r="K19" s="17">
        <f t="shared" ref="K19" si="72">J18</f>
        <v>44.8</v>
      </c>
      <c r="L19" s="19">
        <f t="shared" ref="L19" si="73">J19-K19</f>
        <v>7.4000000000000057</v>
      </c>
      <c r="M19" s="17">
        <v>500</v>
      </c>
      <c r="N19" s="19">
        <f t="shared" ref="N19" si="74">L19*M19</f>
        <v>3700.0000000000027</v>
      </c>
      <c r="O19" s="17">
        <f t="shared" si="23"/>
        <v>2100.0000000000014</v>
      </c>
      <c r="P19" s="12">
        <v>52.2</v>
      </c>
      <c r="Q19" s="17">
        <f t="shared" ref="Q19" si="75">P18</f>
        <v>44.8</v>
      </c>
      <c r="R19" s="19">
        <f t="shared" ref="R19" si="76">P19-Q19</f>
        <v>7.4000000000000057</v>
      </c>
      <c r="S19" s="17">
        <v>500</v>
      </c>
      <c r="T19" s="19">
        <f t="shared" ref="T19" si="77">R19*S19</f>
        <v>3700.0000000000027</v>
      </c>
      <c r="U19" s="19"/>
      <c r="V19" s="19"/>
      <c r="W19" s="25"/>
    </row>
    <row r="20" spans="1:23" ht="15.75" x14ac:dyDescent="0.25">
      <c r="A20" s="12">
        <v>11</v>
      </c>
      <c r="B20" s="22" t="s">
        <v>111</v>
      </c>
      <c r="C20" s="194"/>
      <c r="D20" s="194"/>
      <c r="E20" s="12">
        <v>112</v>
      </c>
      <c r="F20" s="17">
        <f t="shared" ref="F20" si="78">E19</f>
        <v>108.5</v>
      </c>
      <c r="G20" s="19">
        <f t="shared" ref="G20" si="79">E20-F20</f>
        <v>3.5</v>
      </c>
      <c r="H20" s="17">
        <v>500</v>
      </c>
      <c r="I20" s="19">
        <f t="shared" ref="I20" si="80">G20*H20</f>
        <v>1750</v>
      </c>
      <c r="J20" s="12">
        <v>59.2</v>
      </c>
      <c r="K20" s="17">
        <f t="shared" ref="K20" si="81">J19</f>
        <v>52.2</v>
      </c>
      <c r="L20" s="19">
        <f t="shared" ref="L20" si="82">J20-K20</f>
        <v>7</v>
      </c>
      <c r="M20" s="17">
        <v>500</v>
      </c>
      <c r="N20" s="19">
        <f t="shared" ref="N20" si="83">L20*M20</f>
        <v>3500</v>
      </c>
      <c r="O20" s="17">
        <f t="shared" ref="O20" si="84">N20-I20</f>
        <v>1750</v>
      </c>
      <c r="P20" s="12">
        <v>59.2</v>
      </c>
      <c r="Q20" s="17">
        <f t="shared" ref="Q20" si="85">P19</f>
        <v>52.2</v>
      </c>
      <c r="R20" s="19">
        <f t="shared" ref="R20" si="86">P20-Q20</f>
        <v>7</v>
      </c>
      <c r="S20" s="17">
        <v>500</v>
      </c>
      <c r="T20" s="19">
        <f t="shared" ref="T20" si="87">R20*S20</f>
        <v>3500</v>
      </c>
      <c r="U20" s="19"/>
      <c r="V20" s="19"/>
      <c r="W20" s="25"/>
    </row>
    <row r="21" spans="1:23" ht="15.75" x14ac:dyDescent="0.25">
      <c r="A21" s="12">
        <v>12</v>
      </c>
      <c r="B21" s="22" t="s">
        <v>117</v>
      </c>
      <c r="C21" s="195"/>
      <c r="D21" s="195"/>
      <c r="E21" s="12">
        <v>118.3</v>
      </c>
      <c r="F21" s="17">
        <f t="shared" ref="F21" si="88">E20</f>
        <v>112</v>
      </c>
      <c r="G21" s="19">
        <f t="shared" ref="G21" si="89">E21-F21</f>
        <v>6.2999999999999972</v>
      </c>
      <c r="H21" s="17">
        <v>500</v>
      </c>
      <c r="I21" s="19">
        <f t="shared" ref="I21" si="90">G21*H21</f>
        <v>3149.9999999999986</v>
      </c>
      <c r="J21" s="12">
        <v>66.3</v>
      </c>
      <c r="K21" s="17">
        <f t="shared" ref="K21" si="91">J20</f>
        <v>59.2</v>
      </c>
      <c r="L21" s="19">
        <f t="shared" ref="L21" si="92">J21-K21</f>
        <v>7.0999999999999943</v>
      </c>
      <c r="M21" s="17">
        <v>500</v>
      </c>
      <c r="N21" s="19">
        <f t="shared" ref="N21" si="93">L21*M21</f>
        <v>3549.9999999999973</v>
      </c>
      <c r="O21" s="17">
        <f t="shared" ref="O21" si="94">N21-I21</f>
        <v>399.99999999999864</v>
      </c>
      <c r="P21" s="12">
        <v>66.3</v>
      </c>
      <c r="Q21" s="17">
        <f>P20</f>
        <v>59.2</v>
      </c>
      <c r="R21" s="19">
        <f>P21-Q21</f>
        <v>7.0999999999999943</v>
      </c>
      <c r="S21" s="17">
        <v>500</v>
      </c>
      <c r="T21" s="19">
        <f t="shared" ref="T21" si="95">R21*S21</f>
        <v>3549.9999999999973</v>
      </c>
      <c r="U21" s="19"/>
      <c r="V21" s="19"/>
      <c r="W21" s="25"/>
    </row>
    <row r="22" spans="1:23" ht="15.75" x14ac:dyDescent="0.25">
      <c r="A22" s="12"/>
      <c r="B22" s="22" t="s">
        <v>121</v>
      </c>
      <c r="C22" s="19"/>
      <c r="D22" s="19"/>
      <c r="E22" s="12"/>
      <c r="F22" s="17"/>
      <c r="G22" s="19"/>
      <c r="H22" s="17"/>
      <c r="I22" s="12">
        <f>SUM(I10:I21)</f>
        <v>25699.999999999996</v>
      </c>
      <c r="J22" s="12"/>
      <c r="K22" s="17"/>
      <c r="L22" s="12"/>
      <c r="M22" s="17"/>
      <c r="N22" s="12">
        <f t="shared" ref="N22:O22" si="96">SUM(N10:N21)</f>
        <v>29400</v>
      </c>
      <c r="O22" s="12">
        <f t="shared" si="96"/>
        <v>3700.0000000000023</v>
      </c>
      <c r="P22" s="12"/>
      <c r="Q22" s="17"/>
      <c r="R22" s="12"/>
      <c r="S22" s="17"/>
      <c r="T22" s="12">
        <f>SUM(T10:T21)</f>
        <v>29400</v>
      </c>
      <c r="U22" s="24"/>
      <c r="V22" s="24"/>
      <c r="W22" s="25"/>
    </row>
    <row r="23" spans="1:23" ht="15.75" x14ac:dyDescent="0.25">
      <c r="A23" s="12"/>
      <c r="B23" s="22"/>
      <c r="C23" s="19"/>
      <c r="D23" s="19"/>
      <c r="E23" s="12"/>
      <c r="F23" s="17"/>
      <c r="G23" s="19"/>
      <c r="H23" s="17"/>
      <c r="I23" s="19"/>
      <c r="J23" s="12"/>
      <c r="K23" s="17"/>
      <c r="L23" s="19"/>
      <c r="M23" s="17"/>
      <c r="N23" s="19"/>
      <c r="O23" s="17"/>
      <c r="P23" s="12"/>
      <c r="Q23" s="17"/>
      <c r="R23" s="19"/>
      <c r="S23" s="17"/>
      <c r="T23" s="19"/>
      <c r="U23" s="24"/>
      <c r="V23" s="24"/>
      <c r="W23" s="25"/>
    </row>
    <row r="24" spans="1:23" ht="15.75" x14ac:dyDescent="0.25">
      <c r="A24" s="12">
        <v>13</v>
      </c>
      <c r="B24" s="22" t="s">
        <v>118</v>
      </c>
      <c r="C24" s="196" t="s">
        <v>199</v>
      </c>
      <c r="D24" s="196" t="s">
        <v>58</v>
      </c>
      <c r="E24" s="12">
        <v>123.1</v>
      </c>
      <c r="F24" s="17">
        <f t="shared" ref="F24" si="97">E21</f>
        <v>118.3</v>
      </c>
      <c r="G24" s="19">
        <f t="shared" ref="G24" si="98">E24-F24</f>
        <v>4.7999999999999972</v>
      </c>
      <c r="H24" s="17">
        <v>500</v>
      </c>
      <c r="I24" s="19">
        <f t="shared" ref="I24" si="99">G24*H24</f>
        <v>2399.9999999999986</v>
      </c>
      <c r="J24" s="12">
        <v>73.599999999999994</v>
      </c>
      <c r="K24" s="17">
        <f t="shared" ref="K24" si="100">J21</f>
        <v>66.3</v>
      </c>
      <c r="L24" s="19">
        <f t="shared" ref="L24" si="101">J24-K24</f>
        <v>7.2999999999999972</v>
      </c>
      <c r="M24" s="17">
        <v>500</v>
      </c>
      <c r="N24" s="19">
        <f t="shared" ref="N24" si="102">L24*M24</f>
        <v>3649.9999999999986</v>
      </c>
      <c r="O24" s="17">
        <f t="shared" ref="O24" si="103">N24-I24</f>
        <v>1250</v>
      </c>
      <c r="P24" s="12">
        <v>73.599999999999994</v>
      </c>
      <c r="Q24" s="17">
        <f>P21</f>
        <v>66.3</v>
      </c>
      <c r="R24" s="19">
        <f t="shared" ref="R24:R29" si="104">P24-Q24</f>
        <v>7.2999999999999972</v>
      </c>
      <c r="S24" s="17">
        <v>500</v>
      </c>
      <c r="T24" s="19">
        <f t="shared" ref="T24" si="105">R24*S24</f>
        <v>3649.9999999999986</v>
      </c>
      <c r="U24" s="19" t="s">
        <v>241</v>
      </c>
      <c r="V24" s="90" t="s">
        <v>242</v>
      </c>
      <c r="W24" s="25"/>
    </row>
    <row r="25" spans="1:23" ht="15.75" x14ac:dyDescent="0.25">
      <c r="A25" s="12">
        <v>14</v>
      </c>
      <c r="B25" s="22" t="s">
        <v>119</v>
      </c>
      <c r="C25" s="196"/>
      <c r="D25" s="196"/>
      <c r="E25" s="12">
        <v>127.5</v>
      </c>
      <c r="F25" s="17">
        <f t="shared" ref="F25" si="106">E24</f>
        <v>123.1</v>
      </c>
      <c r="G25" s="19">
        <f t="shared" ref="G25" si="107">E25-F25</f>
        <v>4.4000000000000057</v>
      </c>
      <c r="H25" s="17">
        <v>500</v>
      </c>
      <c r="I25" s="19">
        <f t="shared" ref="I25" si="108">G25*H25</f>
        <v>2200.0000000000027</v>
      </c>
      <c r="J25" s="12">
        <v>78.2</v>
      </c>
      <c r="K25" s="17">
        <f t="shared" ref="K25" si="109">J24</f>
        <v>73.599999999999994</v>
      </c>
      <c r="L25" s="19">
        <f t="shared" ref="L25" si="110">J25-K25</f>
        <v>4.6000000000000085</v>
      </c>
      <c r="M25" s="17">
        <v>500</v>
      </c>
      <c r="N25" s="19">
        <f t="shared" ref="N25" si="111">L25*M25</f>
        <v>2300.0000000000041</v>
      </c>
      <c r="O25" s="17">
        <f t="shared" ref="O25" si="112">N25-I25</f>
        <v>100.00000000000136</v>
      </c>
      <c r="P25" s="12">
        <v>78.2</v>
      </c>
      <c r="Q25" s="17">
        <f t="shared" ref="Q25:Q30" si="113">P24</f>
        <v>73.599999999999994</v>
      </c>
      <c r="R25" s="19">
        <f t="shared" si="104"/>
        <v>4.6000000000000085</v>
      </c>
      <c r="S25" s="17">
        <v>500</v>
      </c>
      <c r="T25" s="19">
        <f t="shared" ref="T25" si="114">R25*S25</f>
        <v>2300.0000000000041</v>
      </c>
      <c r="U25" s="19"/>
      <c r="V25" s="90"/>
      <c r="W25" s="25"/>
    </row>
    <row r="26" spans="1:23" ht="15.75" x14ac:dyDescent="0.25">
      <c r="A26" s="12">
        <v>15</v>
      </c>
      <c r="B26" s="22" t="s">
        <v>195</v>
      </c>
      <c r="C26" s="196"/>
      <c r="D26" s="196"/>
      <c r="E26" s="12">
        <v>132.4</v>
      </c>
      <c r="F26" s="17">
        <f t="shared" ref="F26" si="115">E25</f>
        <v>127.5</v>
      </c>
      <c r="G26" s="19">
        <f t="shared" ref="G26" si="116">E26-F26</f>
        <v>4.9000000000000057</v>
      </c>
      <c r="H26" s="17">
        <v>500</v>
      </c>
      <c r="I26" s="19">
        <f t="shared" ref="I26" si="117">G26*H26</f>
        <v>2450.0000000000027</v>
      </c>
      <c r="J26" s="12">
        <v>80.900000000000006</v>
      </c>
      <c r="K26" s="17">
        <f t="shared" ref="K26" si="118">J25</f>
        <v>78.2</v>
      </c>
      <c r="L26" s="19">
        <f t="shared" ref="L26" si="119">J26-K26</f>
        <v>2.7000000000000028</v>
      </c>
      <c r="M26" s="17">
        <v>500</v>
      </c>
      <c r="N26" s="19">
        <f t="shared" ref="N26" si="120">L26*M26</f>
        <v>1350.0000000000014</v>
      </c>
      <c r="O26" s="17">
        <f t="shared" ref="O26" si="121">N26-I26</f>
        <v>-1100.0000000000014</v>
      </c>
      <c r="P26" s="12">
        <v>80.900000000000006</v>
      </c>
      <c r="Q26" s="17">
        <f t="shared" si="113"/>
        <v>78.2</v>
      </c>
      <c r="R26" s="19">
        <f t="shared" si="104"/>
        <v>2.7000000000000028</v>
      </c>
      <c r="S26" s="17">
        <v>500</v>
      </c>
      <c r="T26" s="19">
        <f t="shared" ref="T26" si="122">R26*S26</f>
        <v>1350.0000000000014</v>
      </c>
      <c r="U26" s="19"/>
      <c r="V26" s="90"/>
      <c r="W26" s="25"/>
    </row>
    <row r="27" spans="1:23" ht="15.75" x14ac:dyDescent="0.25">
      <c r="A27" s="12">
        <v>16</v>
      </c>
      <c r="B27" s="22" t="s">
        <v>203</v>
      </c>
      <c r="C27" s="196"/>
      <c r="D27" s="196"/>
      <c r="E27" s="12">
        <v>138.6</v>
      </c>
      <c r="F27" s="17">
        <f t="shared" ref="F27" si="123">E26</f>
        <v>132.4</v>
      </c>
      <c r="G27" s="19">
        <f t="shared" ref="G27" si="124">E27-F27</f>
        <v>6.1999999999999886</v>
      </c>
      <c r="H27" s="17">
        <f t="shared" ref="H27:H35" si="125">H26</f>
        <v>500</v>
      </c>
      <c r="I27" s="19">
        <f t="shared" ref="I27" si="126">G27*H27</f>
        <v>3099.9999999999945</v>
      </c>
      <c r="J27" s="12">
        <v>82.9</v>
      </c>
      <c r="K27" s="17">
        <f t="shared" ref="K27" si="127">J26</f>
        <v>80.900000000000006</v>
      </c>
      <c r="L27" s="19">
        <f t="shared" ref="L27" si="128">J27-K27</f>
        <v>2</v>
      </c>
      <c r="M27" s="17">
        <f t="shared" ref="M27:M35" si="129">M26</f>
        <v>500</v>
      </c>
      <c r="N27" s="19">
        <f t="shared" ref="N27" si="130">L27*M27</f>
        <v>1000</v>
      </c>
      <c r="O27" s="17">
        <f t="shared" ref="O27" si="131">N27-I27</f>
        <v>-2099.9999999999945</v>
      </c>
      <c r="P27" s="12">
        <v>82.9</v>
      </c>
      <c r="Q27" s="17">
        <f t="shared" si="113"/>
        <v>80.900000000000006</v>
      </c>
      <c r="R27" s="19">
        <f t="shared" si="104"/>
        <v>2</v>
      </c>
      <c r="S27" s="17">
        <f t="shared" ref="S27:S35" si="132">S26</f>
        <v>500</v>
      </c>
      <c r="T27" s="19">
        <f t="shared" ref="T27" si="133">R27*S27</f>
        <v>1000</v>
      </c>
      <c r="U27" s="19"/>
      <c r="V27" s="90"/>
      <c r="W27" s="25"/>
    </row>
    <row r="28" spans="1:23" ht="15.75" x14ac:dyDescent="0.25">
      <c r="A28" s="12">
        <v>17</v>
      </c>
      <c r="B28" s="22" t="s">
        <v>240</v>
      </c>
      <c r="C28" s="196"/>
      <c r="D28" s="196"/>
      <c r="E28" s="12">
        <v>143.9</v>
      </c>
      <c r="F28" s="17">
        <f t="shared" ref="F28" si="134">E27</f>
        <v>138.6</v>
      </c>
      <c r="G28" s="19">
        <f t="shared" ref="G28" si="135">E28-F28</f>
        <v>5.3000000000000114</v>
      </c>
      <c r="H28" s="17">
        <f t="shared" si="125"/>
        <v>500</v>
      </c>
      <c r="I28" s="19">
        <f t="shared" ref="I28" si="136">G28*H28</f>
        <v>2650.0000000000055</v>
      </c>
      <c r="J28" s="12">
        <v>84.6</v>
      </c>
      <c r="K28" s="17">
        <f t="shared" ref="K28" si="137">J27</f>
        <v>82.9</v>
      </c>
      <c r="L28" s="19">
        <f t="shared" ref="L28" si="138">J28-K28</f>
        <v>1.6999999999999886</v>
      </c>
      <c r="M28" s="17">
        <f t="shared" si="129"/>
        <v>500</v>
      </c>
      <c r="N28" s="19">
        <f t="shared" ref="N28" si="139">L28*M28</f>
        <v>849.99999999999432</v>
      </c>
      <c r="O28" s="17">
        <f t="shared" ref="O28" si="140">N28-I28</f>
        <v>-1800.0000000000111</v>
      </c>
      <c r="P28" s="12">
        <v>84.6</v>
      </c>
      <c r="Q28" s="17">
        <f t="shared" si="113"/>
        <v>82.9</v>
      </c>
      <c r="R28" s="19">
        <f t="shared" si="104"/>
        <v>1.6999999999999886</v>
      </c>
      <c r="S28" s="17">
        <f t="shared" si="132"/>
        <v>500</v>
      </c>
      <c r="T28" s="19">
        <f t="shared" ref="T28" si="141">R28*S28</f>
        <v>849.99999999999432</v>
      </c>
      <c r="U28" s="19">
        <v>0.12</v>
      </c>
      <c r="V28" s="90">
        <v>0.23799999999999999</v>
      </c>
      <c r="W28" s="25"/>
    </row>
    <row r="29" spans="1:23" ht="15.75" x14ac:dyDescent="0.25">
      <c r="A29" s="12">
        <v>18</v>
      </c>
      <c r="B29" s="22" t="s">
        <v>244</v>
      </c>
      <c r="C29" s="196"/>
      <c r="D29" s="196"/>
      <c r="E29" s="12">
        <v>148.4</v>
      </c>
      <c r="F29" s="17">
        <f t="shared" ref="F29" si="142">E28</f>
        <v>143.9</v>
      </c>
      <c r="G29" s="19">
        <f t="shared" ref="G29" si="143">E29-F29</f>
        <v>4.5</v>
      </c>
      <c r="H29" s="17">
        <f t="shared" si="125"/>
        <v>500</v>
      </c>
      <c r="I29" s="19">
        <f t="shared" ref="I29" si="144">G29*H29</f>
        <v>2250</v>
      </c>
      <c r="J29" s="12">
        <v>86.6</v>
      </c>
      <c r="K29" s="17">
        <f t="shared" ref="K29" si="145">J28</f>
        <v>84.6</v>
      </c>
      <c r="L29" s="19">
        <f t="shared" ref="L29" si="146">J29-K29</f>
        <v>2</v>
      </c>
      <c r="M29" s="17">
        <f t="shared" si="129"/>
        <v>500</v>
      </c>
      <c r="N29" s="19">
        <f t="shared" ref="N29" si="147">L29*M29</f>
        <v>1000</v>
      </c>
      <c r="O29" s="17">
        <f t="shared" ref="O29" si="148">N29-I29</f>
        <v>-1250</v>
      </c>
      <c r="P29" s="12">
        <v>86.6</v>
      </c>
      <c r="Q29" s="17">
        <f t="shared" si="113"/>
        <v>84.6</v>
      </c>
      <c r="R29" s="19">
        <f t="shared" si="104"/>
        <v>2</v>
      </c>
      <c r="S29" s="17">
        <f t="shared" si="132"/>
        <v>500</v>
      </c>
      <c r="T29" s="19">
        <f t="shared" ref="T29" si="149">R29*S29</f>
        <v>1000</v>
      </c>
      <c r="U29" s="19">
        <v>0.107</v>
      </c>
      <c r="V29" s="90">
        <v>0.25800000000000001</v>
      </c>
      <c r="W29" s="25"/>
    </row>
    <row r="30" spans="1:23" ht="15.75" x14ac:dyDescent="0.25">
      <c r="A30" s="12">
        <v>19</v>
      </c>
      <c r="B30" s="22" t="s">
        <v>245</v>
      </c>
      <c r="C30" s="196"/>
      <c r="D30" s="196"/>
      <c r="E30" s="12">
        <v>152.80000000000001</v>
      </c>
      <c r="F30" s="17">
        <f t="shared" ref="F30" si="150">E29</f>
        <v>148.4</v>
      </c>
      <c r="G30" s="19">
        <f t="shared" ref="G30" si="151">E30-F30</f>
        <v>4.4000000000000057</v>
      </c>
      <c r="H30" s="17">
        <f t="shared" si="125"/>
        <v>500</v>
      </c>
      <c r="I30" s="19">
        <f t="shared" ref="I30" si="152">G30*H30</f>
        <v>2200.0000000000027</v>
      </c>
      <c r="J30" s="12">
        <v>90.1</v>
      </c>
      <c r="K30" s="17">
        <f t="shared" ref="K30" si="153">J29</f>
        <v>86.6</v>
      </c>
      <c r="L30" s="19">
        <f t="shared" ref="L30" si="154">J30-K30</f>
        <v>3.5</v>
      </c>
      <c r="M30" s="17">
        <f t="shared" si="129"/>
        <v>500</v>
      </c>
      <c r="N30" s="19">
        <f t="shared" ref="N30" si="155">L30*M30</f>
        <v>1750</v>
      </c>
      <c r="O30" s="17">
        <f t="shared" ref="O30" si="156">N30-I30</f>
        <v>-450.00000000000273</v>
      </c>
      <c r="P30" s="12">
        <v>90.1</v>
      </c>
      <c r="Q30" s="17">
        <f t="shared" si="113"/>
        <v>86.6</v>
      </c>
      <c r="R30" s="19">
        <f t="shared" ref="R30" si="157">P30-Q30</f>
        <v>3.5</v>
      </c>
      <c r="S30" s="17">
        <f t="shared" si="132"/>
        <v>500</v>
      </c>
      <c r="T30" s="19">
        <f t="shared" ref="T30" si="158">R30*S30</f>
        <v>1750</v>
      </c>
      <c r="U30" s="19">
        <v>0.105</v>
      </c>
      <c r="V30" s="90">
        <v>0.223</v>
      </c>
      <c r="W30" s="25"/>
    </row>
    <row r="31" spans="1:23" ht="15.75" x14ac:dyDescent="0.25">
      <c r="A31" s="12">
        <v>20</v>
      </c>
      <c r="B31" s="22" t="s">
        <v>246</v>
      </c>
      <c r="C31" s="196"/>
      <c r="D31" s="196"/>
      <c r="E31" s="12">
        <v>158</v>
      </c>
      <c r="F31" s="17">
        <f t="shared" ref="F31" si="159">E30</f>
        <v>152.80000000000001</v>
      </c>
      <c r="G31" s="19">
        <f t="shared" ref="G31" si="160">E31-F31</f>
        <v>5.1999999999999886</v>
      </c>
      <c r="H31" s="17">
        <f t="shared" si="125"/>
        <v>500</v>
      </c>
      <c r="I31" s="19">
        <f t="shared" ref="I31" si="161">G31*H31</f>
        <v>2599.9999999999945</v>
      </c>
      <c r="J31" s="12">
        <v>92.2</v>
      </c>
      <c r="K31" s="17">
        <f t="shared" ref="K31" si="162">J30</f>
        <v>90.1</v>
      </c>
      <c r="L31" s="19">
        <f t="shared" ref="L31" si="163">J31-K31</f>
        <v>2.1000000000000085</v>
      </c>
      <c r="M31" s="17">
        <f t="shared" si="129"/>
        <v>500</v>
      </c>
      <c r="N31" s="19">
        <f t="shared" ref="N31" si="164">L31*M31</f>
        <v>1050.0000000000043</v>
      </c>
      <c r="O31" s="17">
        <f t="shared" ref="O31" si="165">N31-I31</f>
        <v>-1549.9999999999902</v>
      </c>
      <c r="P31" s="12">
        <v>92.2</v>
      </c>
      <c r="Q31" s="17">
        <f t="shared" ref="Q31" si="166">P30</f>
        <v>90.1</v>
      </c>
      <c r="R31" s="19">
        <f t="shared" ref="R31" si="167">P31-Q31</f>
        <v>2.1000000000000085</v>
      </c>
      <c r="S31" s="17">
        <f t="shared" si="132"/>
        <v>500</v>
      </c>
      <c r="T31" s="19">
        <f t="shared" ref="T31" si="168">R31*S31</f>
        <v>1050.0000000000043</v>
      </c>
      <c r="U31" s="19">
        <v>0.13200000000000001</v>
      </c>
      <c r="V31" s="90">
        <v>0.26100000000000001</v>
      </c>
      <c r="W31" s="25"/>
    </row>
    <row r="32" spans="1:23" ht="15.75" x14ac:dyDescent="0.25">
      <c r="A32" s="12">
        <v>21</v>
      </c>
      <c r="B32" s="22" t="s">
        <v>252</v>
      </c>
      <c r="C32" s="196"/>
      <c r="D32" s="196"/>
      <c r="E32" s="12">
        <v>162.4</v>
      </c>
      <c r="F32" s="17">
        <f t="shared" ref="F32:F33" si="169">E31</f>
        <v>158</v>
      </c>
      <c r="G32" s="19">
        <f t="shared" ref="G32:G33" si="170">E32-F32</f>
        <v>4.4000000000000057</v>
      </c>
      <c r="H32" s="17">
        <f t="shared" si="125"/>
        <v>500</v>
      </c>
      <c r="I32" s="19">
        <f t="shared" ref="I32:I33" si="171">G32*H32</f>
        <v>2200.0000000000027</v>
      </c>
      <c r="J32" s="12">
        <v>95.5</v>
      </c>
      <c r="K32" s="17">
        <f t="shared" ref="K32:K33" si="172">J31</f>
        <v>92.2</v>
      </c>
      <c r="L32" s="19">
        <f t="shared" ref="L32:L33" si="173">J32-K32</f>
        <v>3.2999999999999972</v>
      </c>
      <c r="M32" s="17">
        <f t="shared" si="129"/>
        <v>500</v>
      </c>
      <c r="N32" s="19">
        <f t="shared" ref="N32:N33" si="174">L32*M32</f>
        <v>1649.9999999999986</v>
      </c>
      <c r="O32" s="17">
        <f t="shared" ref="O32:O33" si="175">N32-I32</f>
        <v>-550.00000000000409</v>
      </c>
      <c r="P32" s="12">
        <v>95.5</v>
      </c>
      <c r="Q32" s="17">
        <f t="shared" ref="Q32:Q33" si="176">P31</f>
        <v>92.2</v>
      </c>
      <c r="R32" s="19">
        <f t="shared" ref="R32:R33" si="177">P32-Q32</f>
        <v>3.2999999999999972</v>
      </c>
      <c r="S32" s="17">
        <f t="shared" si="132"/>
        <v>500</v>
      </c>
      <c r="T32" s="19">
        <f t="shared" ref="T32:T33" si="178">R32*S32</f>
        <v>1649.9999999999986</v>
      </c>
      <c r="U32" s="19">
        <v>0.16200000000000001</v>
      </c>
      <c r="V32" s="90">
        <v>0.17299999999999999</v>
      </c>
      <c r="W32" s="25"/>
    </row>
    <row r="33" spans="1:23" ht="15.75" x14ac:dyDescent="0.25">
      <c r="A33" s="12">
        <v>22</v>
      </c>
      <c r="B33" s="22" t="s">
        <v>253</v>
      </c>
      <c r="C33" s="196"/>
      <c r="D33" s="196"/>
      <c r="E33" s="12">
        <v>165.8</v>
      </c>
      <c r="F33" s="17">
        <f t="shared" si="169"/>
        <v>162.4</v>
      </c>
      <c r="G33" s="19">
        <f t="shared" si="170"/>
        <v>3.4000000000000057</v>
      </c>
      <c r="H33" s="17">
        <f t="shared" si="125"/>
        <v>500</v>
      </c>
      <c r="I33" s="19">
        <f t="shared" si="171"/>
        <v>1700.0000000000027</v>
      </c>
      <c r="J33" s="12">
        <v>104.9</v>
      </c>
      <c r="K33" s="17">
        <f t="shared" si="172"/>
        <v>95.5</v>
      </c>
      <c r="L33" s="19">
        <f t="shared" si="173"/>
        <v>9.4000000000000057</v>
      </c>
      <c r="M33" s="17">
        <f t="shared" si="129"/>
        <v>500</v>
      </c>
      <c r="N33" s="19">
        <f t="shared" si="174"/>
        <v>4700.0000000000027</v>
      </c>
      <c r="O33" s="17">
        <f t="shared" si="175"/>
        <v>3000</v>
      </c>
      <c r="P33" s="12">
        <v>104.9</v>
      </c>
      <c r="Q33" s="17">
        <f t="shared" si="176"/>
        <v>95.5</v>
      </c>
      <c r="R33" s="19">
        <f t="shared" si="177"/>
        <v>9.4000000000000057</v>
      </c>
      <c r="S33" s="17">
        <f t="shared" si="132"/>
        <v>500</v>
      </c>
      <c r="T33" s="19">
        <f t="shared" si="178"/>
        <v>4700.0000000000027</v>
      </c>
      <c r="U33" s="19">
        <v>0.157</v>
      </c>
      <c r="V33" s="90">
        <v>0.16</v>
      </c>
      <c r="W33" s="25"/>
    </row>
    <row r="34" spans="1:23" ht="15.75" x14ac:dyDescent="0.25">
      <c r="A34" s="12">
        <v>23</v>
      </c>
      <c r="B34" s="22" t="s">
        <v>254</v>
      </c>
      <c r="C34" s="196"/>
      <c r="D34" s="196"/>
      <c r="E34" s="12">
        <v>170.1</v>
      </c>
      <c r="F34" s="17">
        <f t="shared" ref="F34:F35" si="179">E33</f>
        <v>165.8</v>
      </c>
      <c r="G34" s="19">
        <f t="shared" ref="G34:G35" si="180">E34-F34</f>
        <v>4.2999999999999829</v>
      </c>
      <c r="H34" s="17">
        <f t="shared" si="125"/>
        <v>500</v>
      </c>
      <c r="I34" s="19">
        <f t="shared" ref="I34:I35" si="181">G34*H34</f>
        <v>2149.9999999999914</v>
      </c>
      <c r="J34" s="12">
        <v>110.8</v>
      </c>
      <c r="K34" s="17">
        <f t="shared" ref="K34:K35" si="182">J33</f>
        <v>104.9</v>
      </c>
      <c r="L34" s="19">
        <f t="shared" ref="L34:L35" si="183">J34-K34</f>
        <v>5.8999999999999915</v>
      </c>
      <c r="M34" s="17">
        <f t="shared" si="129"/>
        <v>500</v>
      </c>
      <c r="N34" s="19">
        <f t="shared" ref="N34:N37" si="184">L34*M34</f>
        <v>2949.9999999999959</v>
      </c>
      <c r="O34" s="17">
        <f t="shared" ref="O34:O35" si="185">N34-I34</f>
        <v>800.00000000000455</v>
      </c>
      <c r="P34" s="12">
        <v>110.8</v>
      </c>
      <c r="Q34" s="17">
        <f t="shared" ref="Q34:Q35" si="186">P33</f>
        <v>104.9</v>
      </c>
      <c r="R34" s="19">
        <f t="shared" ref="R34:R35" si="187">P34-Q34</f>
        <v>5.8999999999999915</v>
      </c>
      <c r="S34" s="17">
        <f t="shared" si="132"/>
        <v>500</v>
      </c>
      <c r="T34" s="19">
        <f t="shared" ref="T34:T35" si="188">R34*S34</f>
        <v>2949.9999999999959</v>
      </c>
      <c r="U34" s="19"/>
      <c r="V34" s="90"/>
      <c r="W34" s="25"/>
    </row>
    <row r="35" spans="1:23" ht="15.75" x14ac:dyDescent="0.25">
      <c r="A35" s="12">
        <v>24</v>
      </c>
      <c r="B35" s="22" t="s">
        <v>258</v>
      </c>
      <c r="C35" s="196"/>
      <c r="D35" s="196"/>
      <c r="E35" s="12">
        <v>174</v>
      </c>
      <c r="F35" s="17">
        <f t="shared" si="179"/>
        <v>170.1</v>
      </c>
      <c r="G35" s="19">
        <f t="shared" si="180"/>
        <v>3.9000000000000057</v>
      </c>
      <c r="H35" s="17">
        <f t="shared" si="125"/>
        <v>500</v>
      </c>
      <c r="I35" s="19">
        <f t="shared" si="181"/>
        <v>1950.0000000000027</v>
      </c>
      <c r="J35" s="12">
        <v>119.3</v>
      </c>
      <c r="K35" s="17">
        <f t="shared" si="182"/>
        <v>110.8</v>
      </c>
      <c r="L35" s="19">
        <f t="shared" si="183"/>
        <v>8.5</v>
      </c>
      <c r="M35" s="17">
        <f t="shared" si="129"/>
        <v>500</v>
      </c>
      <c r="N35" s="19">
        <f t="shared" si="184"/>
        <v>4250</v>
      </c>
      <c r="O35" s="17">
        <f t="shared" si="185"/>
        <v>2299.9999999999973</v>
      </c>
      <c r="P35" s="12">
        <v>119.3</v>
      </c>
      <c r="Q35" s="17">
        <f t="shared" si="186"/>
        <v>110.8</v>
      </c>
      <c r="R35" s="19">
        <f t="shared" si="187"/>
        <v>8.5</v>
      </c>
      <c r="S35" s="17">
        <f t="shared" si="132"/>
        <v>500</v>
      </c>
      <c r="T35" s="19">
        <f t="shared" si="188"/>
        <v>4250</v>
      </c>
      <c r="U35" s="19"/>
      <c r="V35" s="90"/>
      <c r="W35" s="25"/>
    </row>
    <row r="36" spans="1:23" ht="15.75" x14ac:dyDescent="0.25">
      <c r="A36" s="66"/>
      <c r="B36" s="22" t="s">
        <v>121</v>
      </c>
      <c r="C36" s="66"/>
      <c r="D36" s="66"/>
      <c r="E36" s="66"/>
      <c r="F36" s="66"/>
      <c r="G36" s="66"/>
      <c r="H36" s="66"/>
      <c r="I36" s="17">
        <f>SUM(I24:I35)</f>
        <v>27850.000000000004</v>
      </c>
      <c r="J36" s="66"/>
      <c r="K36" s="66"/>
      <c r="L36" s="66"/>
      <c r="M36" s="66"/>
      <c r="N36" s="17">
        <f t="shared" ref="N36:O36" si="189">SUM(N24:N35)</f>
        <v>26500</v>
      </c>
      <c r="O36" s="17">
        <f t="shared" si="189"/>
        <v>-1350</v>
      </c>
      <c r="P36" s="66"/>
      <c r="Q36" s="66"/>
      <c r="R36" s="66"/>
      <c r="S36" s="66"/>
      <c r="T36" s="17">
        <f>SUM(T24:T35)</f>
        <v>26500</v>
      </c>
      <c r="U36" s="66"/>
      <c r="V36" s="25"/>
      <c r="W36" s="25"/>
    </row>
    <row r="37" spans="1:23" ht="15.75" x14ac:dyDescent="0.25">
      <c r="A37" s="12">
        <v>25</v>
      </c>
      <c r="B37" s="22" t="s">
        <v>259</v>
      </c>
      <c r="C37" s="19" t="s">
        <v>260</v>
      </c>
      <c r="D37" s="8" t="s">
        <v>236</v>
      </c>
      <c r="E37" s="8">
        <v>176.7</v>
      </c>
      <c r="F37" s="8">
        <f>E35</f>
        <v>174</v>
      </c>
      <c r="G37" s="17">
        <f t="shared" ref="G37" si="190">E37-F37</f>
        <v>2.6999999999999886</v>
      </c>
      <c r="H37" s="17">
        <f>H35</f>
        <v>500</v>
      </c>
      <c r="I37" s="17">
        <f t="shared" ref="I37" si="191">G37*H37</f>
        <v>1349.9999999999943</v>
      </c>
      <c r="J37" s="8">
        <v>126.2</v>
      </c>
      <c r="K37" s="8">
        <f>J35</f>
        <v>119.3</v>
      </c>
      <c r="L37" s="17">
        <f t="shared" ref="L37" si="192">J37-K37</f>
        <v>6.9000000000000057</v>
      </c>
      <c r="M37" s="17">
        <f>M35</f>
        <v>500</v>
      </c>
      <c r="N37" s="19">
        <f t="shared" si="184"/>
        <v>3450.0000000000027</v>
      </c>
      <c r="O37" s="17">
        <f t="shared" ref="O37" si="193">N37-I37</f>
        <v>2100.0000000000082</v>
      </c>
      <c r="P37" s="8">
        <v>126.2</v>
      </c>
      <c r="Q37" s="17">
        <f>P35</f>
        <v>119.3</v>
      </c>
      <c r="R37" s="19">
        <f t="shared" ref="R37" si="194">P37-Q37</f>
        <v>6.9000000000000057</v>
      </c>
      <c r="S37" s="17">
        <f>S35</f>
        <v>500</v>
      </c>
      <c r="T37" s="19">
        <f t="shared" ref="T37" si="195">R37*S37</f>
        <v>3450.0000000000027</v>
      </c>
      <c r="U37" s="8">
        <v>0.121</v>
      </c>
      <c r="V37" s="8">
        <v>0.14699999999999999</v>
      </c>
      <c r="W37" s="25"/>
    </row>
    <row r="38" spans="1:23" ht="15.75" x14ac:dyDescent="0.25">
      <c r="A38" s="21">
        <v>26</v>
      </c>
      <c r="B38" s="22" t="s">
        <v>263</v>
      </c>
      <c r="C38" s="19" t="s">
        <v>260</v>
      </c>
      <c r="D38" s="8" t="s">
        <v>236</v>
      </c>
      <c r="E38" s="66">
        <v>180</v>
      </c>
      <c r="F38" s="8">
        <f t="shared" ref="F38:F43" si="196">E37</f>
        <v>176.7</v>
      </c>
      <c r="G38" s="17">
        <f t="shared" ref="G38" si="197">E38-F38</f>
        <v>3.3000000000000114</v>
      </c>
      <c r="H38" s="17">
        <f t="shared" ref="H38:H78" si="198">H37</f>
        <v>500</v>
      </c>
      <c r="I38" s="17">
        <f t="shared" ref="I38" si="199">G38*H38</f>
        <v>1650.0000000000057</v>
      </c>
      <c r="J38" s="66">
        <v>129.9</v>
      </c>
      <c r="K38" s="66">
        <f t="shared" ref="K38:K43" si="200">J37</f>
        <v>126.2</v>
      </c>
      <c r="L38" s="17">
        <f t="shared" ref="L38" si="201">J38-K38</f>
        <v>3.7000000000000028</v>
      </c>
      <c r="M38" s="17">
        <f t="shared" ref="M38:M78" si="202">M37</f>
        <v>500</v>
      </c>
      <c r="N38" s="19">
        <f t="shared" ref="N38" si="203">L38*M38</f>
        <v>1850.0000000000014</v>
      </c>
      <c r="O38" s="17">
        <f t="shared" ref="O38" si="204">N38-I38</f>
        <v>199.99999999999568</v>
      </c>
      <c r="P38" s="66">
        <v>129.9</v>
      </c>
      <c r="Q38" s="66">
        <f t="shared" ref="Q38:Q43" si="205">P37</f>
        <v>126.2</v>
      </c>
      <c r="R38" s="19">
        <f t="shared" ref="R38" si="206">P38-Q38</f>
        <v>3.7000000000000028</v>
      </c>
      <c r="S38" s="17">
        <f t="shared" ref="S38:S78" si="207">S37</f>
        <v>500</v>
      </c>
      <c r="T38" s="19">
        <f t="shared" ref="T38" si="208">R38*S38</f>
        <v>1850.0000000000014</v>
      </c>
      <c r="U38" s="66">
        <v>0.104</v>
      </c>
      <c r="V38" s="66">
        <v>0.42299999999999999</v>
      </c>
      <c r="W38" s="25"/>
    </row>
    <row r="39" spans="1:23" ht="15.75" x14ac:dyDescent="0.25">
      <c r="A39" s="21">
        <v>27</v>
      </c>
      <c r="B39" s="22" t="s">
        <v>265</v>
      </c>
      <c r="C39" s="19" t="s">
        <v>260</v>
      </c>
      <c r="D39" s="8" t="s">
        <v>236</v>
      </c>
      <c r="E39" s="66">
        <v>183.2</v>
      </c>
      <c r="F39" s="8">
        <f t="shared" si="196"/>
        <v>180</v>
      </c>
      <c r="G39" s="17">
        <f t="shared" ref="G39" si="209">E39-F39</f>
        <v>3.1999999999999886</v>
      </c>
      <c r="H39" s="17">
        <f t="shared" si="198"/>
        <v>500</v>
      </c>
      <c r="I39" s="17">
        <f t="shared" ref="I39" si="210">G39*H39</f>
        <v>1599.9999999999943</v>
      </c>
      <c r="J39" s="66">
        <v>133.19999999999999</v>
      </c>
      <c r="K39" s="66">
        <f t="shared" si="200"/>
        <v>129.9</v>
      </c>
      <c r="L39" s="17">
        <f t="shared" ref="L39" si="211">J39-K39</f>
        <v>3.2999999999999829</v>
      </c>
      <c r="M39" s="17">
        <f t="shared" si="202"/>
        <v>500</v>
      </c>
      <c r="N39" s="19">
        <f t="shared" ref="N39" si="212">L39*M39</f>
        <v>1649.9999999999914</v>
      </c>
      <c r="O39" s="17">
        <f t="shared" ref="O39" si="213">N39-I39</f>
        <v>49.999999999997044</v>
      </c>
      <c r="P39" s="66">
        <v>133.19999999999999</v>
      </c>
      <c r="Q39" s="66">
        <f t="shared" si="205"/>
        <v>129.9</v>
      </c>
      <c r="R39" s="19">
        <f t="shared" ref="R39" si="214">P39-Q39</f>
        <v>3.2999999999999829</v>
      </c>
      <c r="S39" s="17">
        <f t="shared" si="207"/>
        <v>500</v>
      </c>
      <c r="T39" s="19">
        <f t="shared" ref="T39" si="215">R39*S39</f>
        <v>1649.9999999999914</v>
      </c>
      <c r="U39" s="66">
        <v>0.13</v>
      </c>
      <c r="V39" s="66">
        <v>0.223</v>
      </c>
      <c r="W39" s="25"/>
    </row>
    <row r="40" spans="1:23" ht="15.75" x14ac:dyDescent="0.25">
      <c r="A40" s="21">
        <v>28</v>
      </c>
      <c r="B40" s="22" t="s">
        <v>266</v>
      </c>
      <c r="C40" s="19" t="s">
        <v>260</v>
      </c>
      <c r="D40" s="8" t="s">
        <v>236</v>
      </c>
      <c r="E40" s="66">
        <v>187.4</v>
      </c>
      <c r="F40" s="8">
        <f t="shared" si="196"/>
        <v>183.2</v>
      </c>
      <c r="G40" s="17">
        <f t="shared" ref="G40" si="216">E40-F40</f>
        <v>4.2000000000000171</v>
      </c>
      <c r="H40" s="17">
        <f t="shared" si="198"/>
        <v>500</v>
      </c>
      <c r="I40" s="17">
        <f t="shared" ref="I40" si="217">G40*H40</f>
        <v>2100.0000000000086</v>
      </c>
      <c r="J40" s="66">
        <v>136.5</v>
      </c>
      <c r="K40" s="66">
        <f t="shared" si="200"/>
        <v>133.19999999999999</v>
      </c>
      <c r="L40" s="17">
        <f t="shared" ref="L40" si="218">J40-K40</f>
        <v>3.3000000000000114</v>
      </c>
      <c r="M40" s="17">
        <f t="shared" si="202"/>
        <v>500</v>
      </c>
      <c r="N40" s="19">
        <f t="shared" ref="N40" si="219">L40*M40</f>
        <v>1650.0000000000057</v>
      </c>
      <c r="O40" s="17">
        <f t="shared" ref="O40" si="220">N40-I40</f>
        <v>-450.00000000000296</v>
      </c>
      <c r="P40" s="66">
        <v>136.5</v>
      </c>
      <c r="Q40" s="66">
        <f t="shared" si="205"/>
        <v>133.19999999999999</v>
      </c>
      <c r="R40" s="19">
        <f t="shared" ref="R40" si="221">P40-Q40</f>
        <v>3.3000000000000114</v>
      </c>
      <c r="S40" s="17">
        <f t="shared" si="207"/>
        <v>500</v>
      </c>
      <c r="T40" s="19">
        <f t="shared" ref="T40" si="222">R40*S40</f>
        <v>1650.0000000000057</v>
      </c>
      <c r="U40" s="66">
        <v>0.111</v>
      </c>
      <c r="V40" s="66">
        <v>0.17799999999999999</v>
      </c>
      <c r="W40" s="25"/>
    </row>
    <row r="41" spans="1:23" ht="15.75" x14ac:dyDescent="0.25">
      <c r="A41" s="21">
        <v>29</v>
      </c>
      <c r="B41" s="22" t="s">
        <v>267</v>
      </c>
      <c r="C41" s="19" t="s">
        <v>260</v>
      </c>
      <c r="D41" s="8" t="s">
        <v>236</v>
      </c>
      <c r="E41" s="66">
        <v>192.1</v>
      </c>
      <c r="F41" s="8">
        <f t="shared" si="196"/>
        <v>187.4</v>
      </c>
      <c r="G41" s="17">
        <f t="shared" ref="G41" si="223">E41-F41</f>
        <v>4.6999999999999886</v>
      </c>
      <c r="H41" s="17">
        <f t="shared" si="198"/>
        <v>500</v>
      </c>
      <c r="I41" s="17">
        <f t="shared" ref="I41" si="224">G41*H41</f>
        <v>2349.9999999999945</v>
      </c>
      <c r="J41" s="66">
        <v>138.6</v>
      </c>
      <c r="K41" s="66">
        <f t="shared" si="200"/>
        <v>136.5</v>
      </c>
      <c r="L41" s="17">
        <f t="shared" ref="L41" si="225">J41-K41</f>
        <v>2.0999999999999943</v>
      </c>
      <c r="M41" s="17">
        <f t="shared" si="202"/>
        <v>500</v>
      </c>
      <c r="N41" s="19">
        <f t="shared" ref="N41" si="226">L41*M41</f>
        <v>1049.9999999999973</v>
      </c>
      <c r="O41" s="17">
        <f t="shared" ref="O41:O42" si="227">N41-I41</f>
        <v>-1299.9999999999973</v>
      </c>
      <c r="P41" s="66">
        <v>138.6</v>
      </c>
      <c r="Q41" s="66">
        <f t="shared" si="205"/>
        <v>136.5</v>
      </c>
      <c r="R41" s="19">
        <f t="shared" ref="R41" si="228">P41-Q41</f>
        <v>2.0999999999999943</v>
      </c>
      <c r="S41" s="17">
        <f t="shared" si="207"/>
        <v>500</v>
      </c>
      <c r="T41" s="19">
        <f t="shared" ref="T41" si="229">R41*S41</f>
        <v>1049.9999999999973</v>
      </c>
      <c r="U41" s="66">
        <v>0.12</v>
      </c>
      <c r="V41" s="66">
        <v>0.2</v>
      </c>
      <c r="W41" s="25"/>
    </row>
    <row r="42" spans="1:23" ht="15.75" x14ac:dyDescent="0.25">
      <c r="A42" s="21">
        <v>30</v>
      </c>
      <c r="B42" s="22" t="s">
        <v>268</v>
      </c>
      <c r="C42" s="19" t="s">
        <v>260</v>
      </c>
      <c r="D42" s="8" t="s">
        <v>236</v>
      </c>
      <c r="E42" s="66">
        <v>196.8</v>
      </c>
      <c r="F42" s="8">
        <f t="shared" si="196"/>
        <v>192.1</v>
      </c>
      <c r="G42" s="17">
        <f t="shared" ref="G42" si="230">E42-F42</f>
        <v>4.7000000000000171</v>
      </c>
      <c r="H42" s="17">
        <f t="shared" si="198"/>
        <v>500</v>
      </c>
      <c r="I42" s="17">
        <f t="shared" ref="I42" si="231">G42*H42</f>
        <v>2350.0000000000086</v>
      </c>
      <c r="J42" s="66">
        <v>140.80000000000001</v>
      </c>
      <c r="K42" s="66">
        <f t="shared" si="200"/>
        <v>138.6</v>
      </c>
      <c r="L42" s="17">
        <f t="shared" ref="L42" si="232">J42-K42</f>
        <v>2.2000000000000171</v>
      </c>
      <c r="M42" s="17">
        <f t="shared" si="202"/>
        <v>500</v>
      </c>
      <c r="N42" s="19">
        <f t="shared" ref="N42" si="233">L42*M42</f>
        <v>1100.0000000000086</v>
      </c>
      <c r="O42" s="17">
        <f t="shared" si="227"/>
        <v>-1250</v>
      </c>
      <c r="P42" s="66">
        <v>140.80000000000001</v>
      </c>
      <c r="Q42" s="66">
        <f t="shared" si="205"/>
        <v>138.6</v>
      </c>
      <c r="R42" s="19">
        <f t="shared" ref="R42" si="234">P42-Q42</f>
        <v>2.2000000000000171</v>
      </c>
      <c r="S42" s="17">
        <f t="shared" si="207"/>
        <v>500</v>
      </c>
      <c r="T42" s="19">
        <f t="shared" ref="T42" si="235">R42*S42</f>
        <v>1100.0000000000086</v>
      </c>
      <c r="U42" s="66">
        <v>0.14299999999999999</v>
      </c>
      <c r="V42" s="66">
        <v>0.48599999999999999</v>
      </c>
      <c r="W42" s="25"/>
    </row>
    <row r="43" spans="1:23" ht="15.75" x14ac:dyDescent="0.25">
      <c r="A43" s="12">
        <v>31</v>
      </c>
      <c r="B43" s="22" t="s">
        <v>272</v>
      </c>
      <c r="C43" s="19" t="s">
        <v>260</v>
      </c>
      <c r="D43" s="8" t="s">
        <v>236</v>
      </c>
      <c r="E43" s="66">
        <v>201.8</v>
      </c>
      <c r="F43" s="8">
        <f t="shared" si="196"/>
        <v>196.8</v>
      </c>
      <c r="G43" s="17">
        <f t="shared" ref="G43" si="236">E43-F43</f>
        <v>5</v>
      </c>
      <c r="H43" s="17">
        <f t="shared" si="198"/>
        <v>500</v>
      </c>
      <c r="I43" s="17">
        <f t="shared" ref="I43" si="237">G43*H43</f>
        <v>2500</v>
      </c>
      <c r="J43" s="66">
        <v>144.19999999999999</v>
      </c>
      <c r="K43" s="66">
        <f t="shared" si="200"/>
        <v>140.80000000000001</v>
      </c>
      <c r="L43" s="17">
        <f t="shared" ref="L43" si="238">J43-K43</f>
        <v>3.3999999999999773</v>
      </c>
      <c r="M43" s="17">
        <f t="shared" si="202"/>
        <v>500</v>
      </c>
      <c r="N43" s="19">
        <f t="shared" ref="N43" si="239">L43*M43</f>
        <v>1699.9999999999886</v>
      </c>
      <c r="O43" s="17">
        <f t="shared" ref="O43" si="240">N43-I43</f>
        <v>-800.00000000001137</v>
      </c>
      <c r="P43" s="66">
        <v>144.19999999999999</v>
      </c>
      <c r="Q43" s="66">
        <f t="shared" si="205"/>
        <v>140.80000000000001</v>
      </c>
      <c r="R43" s="19">
        <f t="shared" ref="R43" si="241">P43-Q43</f>
        <v>3.3999999999999773</v>
      </c>
      <c r="S43" s="17">
        <f t="shared" si="207"/>
        <v>500</v>
      </c>
      <c r="T43" s="19">
        <f t="shared" ref="T43" si="242">R43*S43</f>
        <v>1699.9999999999886</v>
      </c>
      <c r="U43" s="66">
        <v>0.17699999999999999</v>
      </c>
      <c r="V43" s="66">
        <v>0.38</v>
      </c>
      <c r="W43" s="25"/>
    </row>
    <row r="44" spans="1:23" ht="15.75" x14ac:dyDescent="0.25">
      <c r="A44" s="21">
        <v>32</v>
      </c>
      <c r="B44" s="22" t="s">
        <v>274</v>
      </c>
      <c r="C44" s="19" t="s">
        <v>260</v>
      </c>
      <c r="D44" s="8" t="s">
        <v>236</v>
      </c>
      <c r="E44" s="66">
        <v>208.5</v>
      </c>
      <c r="F44" s="8">
        <f t="shared" ref="F44" si="243">E43</f>
        <v>201.8</v>
      </c>
      <c r="G44" s="17">
        <f t="shared" ref="G44" si="244">E44-F44</f>
        <v>6.6999999999999886</v>
      </c>
      <c r="H44" s="17">
        <f t="shared" si="198"/>
        <v>500</v>
      </c>
      <c r="I44" s="17">
        <f t="shared" ref="I44" si="245">G44*H44</f>
        <v>3349.9999999999945</v>
      </c>
      <c r="J44" s="66">
        <v>146.30000000000001</v>
      </c>
      <c r="K44" s="66">
        <f t="shared" ref="K44" si="246">J43</f>
        <v>144.19999999999999</v>
      </c>
      <c r="L44" s="17">
        <f t="shared" ref="L44" si="247">J44-K44</f>
        <v>2.1000000000000227</v>
      </c>
      <c r="M44" s="17">
        <f t="shared" si="202"/>
        <v>500</v>
      </c>
      <c r="N44" s="19">
        <f t="shared" ref="N44" si="248">L44*M44</f>
        <v>1050.0000000000114</v>
      </c>
      <c r="O44" s="17">
        <f t="shared" ref="O44" si="249">N44-I44</f>
        <v>-2299.9999999999832</v>
      </c>
      <c r="P44" s="66">
        <v>146.30000000000001</v>
      </c>
      <c r="Q44" s="66">
        <f t="shared" ref="Q44" si="250">P43</f>
        <v>144.19999999999999</v>
      </c>
      <c r="R44" s="19">
        <f t="shared" ref="R44" si="251">P44-Q44</f>
        <v>2.1000000000000227</v>
      </c>
      <c r="S44" s="17">
        <f t="shared" si="207"/>
        <v>500</v>
      </c>
      <c r="T44" s="19">
        <f t="shared" ref="T44" si="252">R44*S44</f>
        <v>1050.0000000000114</v>
      </c>
      <c r="U44" s="66">
        <v>0.13800000000000001</v>
      </c>
      <c r="V44" s="66">
        <v>0.44800000000000001</v>
      </c>
      <c r="W44" s="25"/>
    </row>
    <row r="45" spans="1:23" ht="15.75" x14ac:dyDescent="0.25">
      <c r="A45" s="12">
        <v>33</v>
      </c>
      <c r="B45" s="22" t="s">
        <v>276</v>
      </c>
      <c r="C45" s="19" t="s">
        <v>260</v>
      </c>
      <c r="D45" s="8" t="s">
        <v>236</v>
      </c>
      <c r="E45" s="66">
        <v>213.8</v>
      </c>
      <c r="F45" s="8">
        <f t="shared" ref="F45" si="253">E44</f>
        <v>208.5</v>
      </c>
      <c r="G45" s="17">
        <f t="shared" ref="G45" si="254">E45-F45</f>
        <v>5.3000000000000114</v>
      </c>
      <c r="H45" s="17">
        <f t="shared" si="198"/>
        <v>500</v>
      </c>
      <c r="I45" s="17">
        <f t="shared" ref="I45" si="255">G45*H45</f>
        <v>2650.0000000000055</v>
      </c>
      <c r="J45" s="66">
        <v>149.4</v>
      </c>
      <c r="K45" s="66">
        <f t="shared" ref="K45" si="256">J44</f>
        <v>146.30000000000001</v>
      </c>
      <c r="L45" s="17">
        <f t="shared" ref="L45" si="257">J45-K45</f>
        <v>3.0999999999999943</v>
      </c>
      <c r="M45" s="17">
        <f t="shared" si="202"/>
        <v>500</v>
      </c>
      <c r="N45" s="19">
        <f t="shared" ref="N45" si="258">L45*M45</f>
        <v>1549.9999999999973</v>
      </c>
      <c r="O45" s="17">
        <f t="shared" ref="O45" si="259">N45-I45</f>
        <v>-1100.0000000000082</v>
      </c>
      <c r="P45" s="66">
        <v>149.4</v>
      </c>
      <c r="Q45" s="66">
        <f t="shared" ref="Q45" si="260">P44</f>
        <v>146.30000000000001</v>
      </c>
      <c r="R45" s="19">
        <f t="shared" ref="R45" si="261">P45-Q45</f>
        <v>3.0999999999999943</v>
      </c>
      <c r="S45" s="17">
        <f t="shared" si="207"/>
        <v>500</v>
      </c>
      <c r="T45" s="19">
        <f t="shared" ref="T45" si="262">R45*S45</f>
        <v>1549.9999999999973</v>
      </c>
      <c r="U45" s="66">
        <v>0.109</v>
      </c>
      <c r="V45" s="66">
        <v>0.41199999999999998</v>
      </c>
      <c r="W45" s="25"/>
    </row>
    <row r="46" spans="1:23" ht="15.75" x14ac:dyDescent="0.25">
      <c r="A46" s="21">
        <v>34</v>
      </c>
      <c r="B46" s="22" t="s">
        <v>262</v>
      </c>
      <c r="C46" s="19" t="s">
        <v>260</v>
      </c>
      <c r="D46" s="8" t="s">
        <v>236</v>
      </c>
      <c r="E46" s="66">
        <v>219</v>
      </c>
      <c r="F46" s="8">
        <f t="shared" ref="F46" si="263">E45</f>
        <v>213.8</v>
      </c>
      <c r="G46" s="17">
        <f t="shared" ref="G46" si="264">E46-F46</f>
        <v>5.1999999999999886</v>
      </c>
      <c r="H46" s="17">
        <f t="shared" si="198"/>
        <v>500</v>
      </c>
      <c r="I46" s="17">
        <f t="shared" ref="I46" si="265">G46*H46</f>
        <v>2599.9999999999945</v>
      </c>
      <c r="J46" s="66">
        <v>153.5</v>
      </c>
      <c r="K46" s="66">
        <f t="shared" ref="K46" si="266">J45</f>
        <v>149.4</v>
      </c>
      <c r="L46" s="17">
        <f t="shared" ref="L46" si="267">J46-K46</f>
        <v>4.0999999999999943</v>
      </c>
      <c r="M46" s="17">
        <f t="shared" si="202"/>
        <v>500</v>
      </c>
      <c r="N46" s="19">
        <f t="shared" ref="N46" si="268">L46*M46</f>
        <v>2049.9999999999973</v>
      </c>
      <c r="O46" s="17">
        <f t="shared" ref="O46" si="269">N46-I46</f>
        <v>-549.99999999999727</v>
      </c>
      <c r="P46" s="66">
        <v>153.5</v>
      </c>
      <c r="Q46" s="66">
        <f t="shared" ref="Q46" si="270">P45</f>
        <v>149.4</v>
      </c>
      <c r="R46" s="19">
        <f t="shared" ref="R46" si="271">P46-Q46</f>
        <v>4.0999999999999943</v>
      </c>
      <c r="S46" s="17">
        <f t="shared" si="207"/>
        <v>500</v>
      </c>
      <c r="T46" s="19">
        <f t="shared" ref="T46" si="272">R46*S46</f>
        <v>2049.9999999999973</v>
      </c>
      <c r="U46" s="66">
        <v>7.8E-2</v>
      </c>
      <c r="V46" s="66">
        <v>0.69299999999999995</v>
      </c>
      <c r="W46" s="25"/>
    </row>
    <row r="47" spans="1:23" ht="15.75" x14ac:dyDescent="0.25">
      <c r="A47" s="12">
        <v>35</v>
      </c>
      <c r="B47" s="22" t="s">
        <v>277</v>
      </c>
      <c r="C47" s="19" t="s">
        <v>260</v>
      </c>
      <c r="D47" s="8" t="s">
        <v>236</v>
      </c>
      <c r="E47" s="66">
        <v>223.8</v>
      </c>
      <c r="F47" s="8">
        <f t="shared" ref="F47" si="273">E46</f>
        <v>219</v>
      </c>
      <c r="G47" s="17">
        <f t="shared" ref="G47" si="274">E47-F47</f>
        <v>4.8000000000000114</v>
      </c>
      <c r="H47" s="17">
        <f t="shared" si="198"/>
        <v>500</v>
      </c>
      <c r="I47" s="17">
        <f t="shared" ref="I47" si="275">G47*H47</f>
        <v>2400.0000000000055</v>
      </c>
      <c r="J47" s="66">
        <v>157.5</v>
      </c>
      <c r="K47" s="66">
        <f t="shared" ref="K47" si="276">J46</f>
        <v>153.5</v>
      </c>
      <c r="L47" s="17">
        <f t="shared" ref="L47" si="277">J47-K47</f>
        <v>4</v>
      </c>
      <c r="M47" s="17">
        <f t="shared" si="202"/>
        <v>500</v>
      </c>
      <c r="N47" s="19">
        <f t="shared" ref="N47" si="278">L47*M47</f>
        <v>2000</v>
      </c>
      <c r="O47" s="17">
        <f t="shared" ref="O47" si="279">N47-I47</f>
        <v>-400.00000000000546</v>
      </c>
      <c r="P47" s="66">
        <v>157.5</v>
      </c>
      <c r="Q47" s="66">
        <f t="shared" ref="Q47" si="280">P46</f>
        <v>153.5</v>
      </c>
      <c r="R47" s="19">
        <f t="shared" ref="R47" si="281">P47-Q47</f>
        <v>4</v>
      </c>
      <c r="S47" s="17">
        <f t="shared" si="207"/>
        <v>500</v>
      </c>
      <c r="T47" s="19">
        <f t="shared" ref="T47" si="282">R47*S47</f>
        <v>2000</v>
      </c>
      <c r="U47" s="66">
        <v>7.9000000000000001E-2</v>
      </c>
      <c r="V47" s="66">
        <v>0.85</v>
      </c>
      <c r="W47" s="25"/>
    </row>
    <row r="48" spans="1:23" ht="15.75" x14ac:dyDescent="0.25">
      <c r="A48" s="12">
        <v>36</v>
      </c>
      <c r="B48" s="22" t="s">
        <v>278</v>
      </c>
      <c r="C48" s="19" t="s">
        <v>260</v>
      </c>
      <c r="D48" s="8" t="s">
        <v>236</v>
      </c>
      <c r="E48" s="66">
        <v>229.5</v>
      </c>
      <c r="F48" s="8">
        <f t="shared" ref="F48" si="283">E47</f>
        <v>223.8</v>
      </c>
      <c r="G48" s="17">
        <f t="shared" ref="G48" si="284">E48-F48</f>
        <v>5.6999999999999886</v>
      </c>
      <c r="H48" s="17">
        <f t="shared" si="198"/>
        <v>500</v>
      </c>
      <c r="I48" s="17">
        <f t="shared" ref="I48" si="285">G48*H48</f>
        <v>2849.9999999999945</v>
      </c>
      <c r="J48" s="66">
        <v>163</v>
      </c>
      <c r="K48" s="66">
        <f t="shared" ref="K48" si="286">J47</f>
        <v>157.5</v>
      </c>
      <c r="L48" s="17">
        <f t="shared" ref="L48" si="287">J48-K48</f>
        <v>5.5</v>
      </c>
      <c r="M48" s="17">
        <f t="shared" si="202"/>
        <v>500</v>
      </c>
      <c r="N48" s="19">
        <f t="shared" ref="N48" si="288">L48*M48</f>
        <v>2750</v>
      </c>
      <c r="O48" s="17">
        <f t="shared" ref="O48" si="289">N48-I48</f>
        <v>-99.999999999994543</v>
      </c>
      <c r="P48" s="66">
        <v>163</v>
      </c>
      <c r="Q48" s="66">
        <f t="shared" ref="Q48" si="290">P47</f>
        <v>157.5</v>
      </c>
      <c r="R48" s="19">
        <f t="shared" ref="R48" si="291">P48-Q48</f>
        <v>5.5</v>
      </c>
      <c r="S48" s="17">
        <f t="shared" si="207"/>
        <v>500</v>
      </c>
      <c r="T48" s="19">
        <f t="shared" ref="T48" si="292">R48*S48</f>
        <v>2750</v>
      </c>
      <c r="U48" s="66">
        <v>0.114</v>
      </c>
      <c r="V48" s="66">
        <v>0.82799999999999996</v>
      </c>
      <c r="W48" s="25"/>
    </row>
    <row r="49" spans="1:23" ht="15.75" x14ac:dyDescent="0.25">
      <c r="A49" s="164"/>
      <c r="B49" s="22"/>
      <c r="C49" s="161"/>
      <c r="D49" s="8"/>
      <c r="E49" s="66"/>
      <c r="F49" s="8"/>
      <c r="G49" s="162"/>
      <c r="H49" s="162"/>
      <c r="I49" s="162"/>
      <c r="J49" s="66"/>
      <c r="K49" s="66"/>
      <c r="L49" s="162"/>
      <c r="M49" s="162"/>
      <c r="N49" s="161"/>
      <c r="O49" s="162"/>
      <c r="P49" s="66"/>
      <c r="Q49" s="66"/>
      <c r="R49" s="161"/>
      <c r="S49" s="162"/>
      <c r="T49" s="161"/>
      <c r="U49" s="66"/>
      <c r="V49" s="66"/>
      <c r="W49" s="25"/>
    </row>
    <row r="50" spans="1:23" ht="15.75" x14ac:dyDescent="0.25">
      <c r="A50" s="12">
        <v>37</v>
      </c>
      <c r="B50" s="22" t="s">
        <v>279</v>
      </c>
      <c r="C50" s="19" t="s">
        <v>260</v>
      </c>
      <c r="D50" s="8" t="s">
        <v>236</v>
      </c>
      <c r="E50" s="66">
        <v>237.2</v>
      </c>
      <c r="F50" s="8">
        <f t="shared" ref="F50" si="293">E48</f>
        <v>229.5</v>
      </c>
      <c r="G50" s="17">
        <f t="shared" ref="G50" si="294">E50-F50</f>
        <v>7.6999999999999886</v>
      </c>
      <c r="H50" s="17">
        <f>H48</f>
        <v>500</v>
      </c>
      <c r="I50" s="17">
        <f t="shared" ref="I50" si="295">G50*H50</f>
        <v>3849.9999999999945</v>
      </c>
      <c r="J50" s="66">
        <v>165.1</v>
      </c>
      <c r="K50" s="66">
        <f t="shared" ref="K50" si="296">J48</f>
        <v>163</v>
      </c>
      <c r="L50" s="17">
        <f t="shared" ref="L50" si="297">J50-K50</f>
        <v>2.0999999999999943</v>
      </c>
      <c r="M50" s="17">
        <f>M48</f>
        <v>500</v>
      </c>
      <c r="N50" s="19">
        <f t="shared" ref="N50" si="298">L50*M50</f>
        <v>1049.9999999999973</v>
      </c>
      <c r="O50" s="17">
        <f t="shared" ref="O50:O52" si="299">N50-I50</f>
        <v>-2799.9999999999973</v>
      </c>
      <c r="P50" s="66">
        <v>165.1</v>
      </c>
      <c r="Q50" s="66">
        <f t="shared" ref="Q50" si="300">P48</f>
        <v>163</v>
      </c>
      <c r="R50" s="19">
        <f t="shared" ref="R50" si="301">P50-Q50</f>
        <v>2.0999999999999943</v>
      </c>
      <c r="S50" s="17">
        <f>S48</f>
        <v>500</v>
      </c>
      <c r="T50" s="19">
        <f t="shared" ref="T50" si="302">R50*S50</f>
        <v>1049.9999999999973</v>
      </c>
      <c r="U50" s="66"/>
      <c r="V50" s="66"/>
      <c r="W50" s="25"/>
    </row>
    <row r="51" spans="1:23" ht="15.75" x14ac:dyDescent="0.25">
      <c r="A51" s="12">
        <v>38</v>
      </c>
      <c r="B51" s="22" t="s">
        <v>280</v>
      </c>
      <c r="C51" s="19" t="s">
        <v>260</v>
      </c>
      <c r="D51" s="8" t="s">
        <v>236</v>
      </c>
      <c r="E51" s="66">
        <v>241.6</v>
      </c>
      <c r="F51" s="8">
        <f t="shared" ref="F51" si="303">E50</f>
        <v>237.2</v>
      </c>
      <c r="G51" s="17">
        <f t="shared" ref="G51" si="304">E51-F51</f>
        <v>4.4000000000000057</v>
      </c>
      <c r="H51" s="17">
        <f t="shared" si="198"/>
        <v>500</v>
      </c>
      <c r="I51" s="17">
        <f t="shared" ref="I51" si="305">G51*H51</f>
        <v>2200.0000000000027</v>
      </c>
      <c r="J51" s="66">
        <v>169.2</v>
      </c>
      <c r="K51" s="66">
        <f t="shared" ref="K51" si="306">J50</f>
        <v>165.1</v>
      </c>
      <c r="L51" s="17">
        <f t="shared" ref="L51" si="307">J51-K51</f>
        <v>4.0999999999999943</v>
      </c>
      <c r="M51" s="17">
        <f t="shared" si="202"/>
        <v>500</v>
      </c>
      <c r="N51" s="19">
        <f t="shared" ref="N51" si="308">L51*M51</f>
        <v>2049.9999999999973</v>
      </c>
      <c r="O51" s="17">
        <f t="shared" si="299"/>
        <v>-150.00000000000546</v>
      </c>
      <c r="P51" s="66">
        <v>169.2</v>
      </c>
      <c r="Q51" s="66">
        <f t="shared" ref="Q51" si="309">P50</f>
        <v>165.1</v>
      </c>
      <c r="R51" s="19">
        <f t="shared" ref="R51" si="310">P51-Q51</f>
        <v>4.0999999999999943</v>
      </c>
      <c r="S51" s="17">
        <f t="shared" si="207"/>
        <v>500</v>
      </c>
      <c r="T51" s="19">
        <f t="shared" ref="T51" si="311">R51*S51</f>
        <v>2049.9999999999973</v>
      </c>
      <c r="U51" s="66">
        <v>8.6999999999999994E-2</v>
      </c>
      <c r="V51" s="66"/>
      <c r="W51" s="25"/>
    </row>
    <row r="52" spans="1:23" ht="15.75" x14ac:dyDescent="0.25">
      <c r="A52" s="12">
        <v>39</v>
      </c>
      <c r="B52" s="22" t="s">
        <v>281</v>
      </c>
      <c r="C52" s="19" t="s">
        <v>260</v>
      </c>
      <c r="D52" s="8" t="s">
        <v>236</v>
      </c>
      <c r="E52" s="66">
        <v>248.3</v>
      </c>
      <c r="F52" s="8">
        <f t="shared" ref="F52" si="312">E51</f>
        <v>241.6</v>
      </c>
      <c r="G52" s="17">
        <f t="shared" ref="G52" si="313">E52-F52</f>
        <v>6.7000000000000171</v>
      </c>
      <c r="H52" s="17">
        <f t="shared" si="198"/>
        <v>500</v>
      </c>
      <c r="I52" s="17">
        <f t="shared" ref="I52" si="314">G52*H52</f>
        <v>3350.0000000000086</v>
      </c>
      <c r="J52" s="66">
        <v>169.7</v>
      </c>
      <c r="K52" s="66">
        <f t="shared" ref="K52:K54" si="315">J51</f>
        <v>169.2</v>
      </c>
      <c r="L52" s="17">
        <f t="shared" ref="L52" si="316">J52-K52</f>
        <v>0.5</v>
      </c>
      <c r="M52" s="17">
        <f t="shared" si="202"/>
        <v>500</v>
      </c>
      <c r="N52" s="19">
        <f t="shared" ref="N52" si="317">L52*M52</f>
        <v>250</v>
      </c>
      <c r="O52" s="17">
        <f t="shared" si="299"/>
        <v>-3100.0000000000086</v>
      </c>
      <c r="P52" s="66">
        <v>169.7</v>
      </c>
      <c r="Q52" s="66">
        <f t="shared" ref="Q52" si="318">P51</f>
        <v>169.2</v>
      </c>
      <c r="R52" s="19">
        <f t="shared" ref="R52" si="319">P52-Q52</f>
        <v>0.5</v>
      </c>
      <c r="S52" s="17">
        <f t="shared" si="207"/>
        <v>500</v>
      </c>
      <c r="T52" s="19">
        <f t="shared" ref="T52" si="320">R52*S52</f>
        <v>250</v>
      </c>
      <c r="U52" s="66">
        <v>0.121</v>
      </c>
      <c r="V52" s="66">
        <v>0.46800000000000003</v>
      </c>
      <c r="W52" s="25"/>
    </row>
    <row r="53" spans="1:23" ht="15.75" x14ac:dyDescent="0.25">
      <c r="A53" s="12">
        <v>40</v>
      </c>
      <c r="B53" s="22" t="s">
        <v>282</v>
      </c>
      <c r="C53" s="19" t="s">
        <v>260</v>
      </c>
      <c r="D53" s="8" t="s">
        <v>236</v>
      </c>
      <c r="E53" s="66">
        <v>257.89999999999998</v>
      </c>
      <c r="F53" s="8">
        <f t="shared" ref="F53" si="321">E52</f>
        <v>248.3</v>
      </c>
      <c r="G53" s="17">
        <f t="shared" ref="G53" si="322">E53-F53</f>
        <v>9.5999999999999659</v>
      </c>
      <c r="H53" s="17">
        <f t="shared" si="198"/>
        <v>500</v>
      </c>
      <c r="I53" s="17">
        <f t="shared" ref="I53" si="323">G53*H53</f>
        <v>4799.9999999999827</v>
      </c>
      <c r="J53" s="66">
        <v>170.3</v>
      </c>
      <c r="K53" s="66">
        <f t="shared" si="315"/>
        <v>169.7</v>
      </c>
      <c r="L53" s="17">
        <f t="shared" ref="L53" si="324">J53-K53</f>
        <v>0.60000000000002274</v>
      </c>
      <c r="M53" s="17">
        <f t="shared" si="202"/>
        <v>500</v>
      </c>
      <c r="N53" s="19">
        <f t="shared" ref="N53" si="325">L53*M53</f>
        <v>300.00000000001137</v>
      </c>
      <c r="O53" s="17">
        <f t="shared" ref="O53:O55" si="326">N53-I53</f>
        <v>-4499.9999999999709</v>
      </c>
      <c r="P53" s="66">
        <v>170.3</v>
      </c>
      <c r="Q53" s="66">
        <f t="shared" ref="Q53" si="327">P52</f>
        <v>169.7</v>
      </c>
      <c r="R53" s="19">
        <f t="shared" ref="R53" si="328">P53-Q53</f>
        <v>0.60000000000002274</v>
      </c>
      <c r="S53" s="17">
        <f t="shared" si="207"/>
        <v>500</v>
      </c>
      <c r="T53" s="19">
        <f t="shared" ref="T53" si="329">R53*S53</f>
        <v>300.00000000001137</v>
      </c>
      <c r="U53" s="66">
        <v>8.8999999999999996E-2</v>
      </c>
      <c r="V53" s="66">
        <v>0.82499999999999996</v>
      </c>
      <c r="W53" s="25"/>
    </row>
    <row r="54" spans="1:23" ht="15.75" x14ac:dyDescent="0.25">
      <c r="A54" s="12">
        <v>41</v>
      </c>
      <c r="B54" s="22" t="s">
        <v>283</v>
      </c>
      <c r="C54" s="19" t="s">
        <v>260</v>
      </c>
      <c r="D54" s="8" t="s">
        <v>236</v>
      </c>
      <c r="E54" s="66">
        <v>263.8</v>
      </c>
      <c r="F54" s="8">
        <f t="shared" ref="F54" si="330">E53</f>
        <v>257.89999999999998</v>
      </c>
      <c r="G54" s="17">
        <f t="shared" ref="G54" si="331">E54-F54</f>
        <v>5.9000000000000341</v>
      </c>
      <c r="H54" s="17">
        <f t="shared" si="198"/>
        <v>500</v>
      </c>
      <c r="I54" s="17">
        <f t="shared" ref="I54" si="332">G54*H54</f>
        <v>2950.0000000000173</v>
      </c>
      <c r="J54" s="66">
        <v>171.9</v>
      </c>
      <c r="K54" s="66">
        <f t="shared" si="315"/>
        <v>170.3</v>
      </c>
      <c r="L54" s="17">
        <f t="shared" ref="L54" si="333">J54-K54</f>
        <v>1.5999999999999943</v>
      </c>
      <c r="M54" s="17">
        <f t="shared" si="202"/>
        <v>500</v>
      </c>
      <c r="N54" s="19">
        <f t="shared" ref="N54" si="334">L54*M54</f>
        <v>799.99999999999716</v>
      </c>
      <c r="O54" s="17">
        <f t="shared" si="326"/>
        <v>-2150.00000000002</v>
      </c>
      <c r="P54" s="66">
        <v>171.9</v>
      </c>
      <c r="Q54" s="66">
        <f t="shared" ref="Q54" si="335">P53</f>
        <v>170.3</v>
      </c>
      <c r="R54" s="19">
        <f t="shared" ref="R54" si="336">P54-Q54</f>
        <v>1.5999999999999943</v>
      </c>
      <c r="S54" s="17">
        <f t="shared" si="207"/>
        <v>500</v>
      </c>
      <c r="T54" s="19">
        <f t="shared" ref="T54" si="337">R54*S54</f>
        <v>799.99999999999716</v>
      </c>
      <c r="U54" s="66">
        <v>0.123</v>
      </c>
      <c r="V54" s="66">
        <v>0.45400000000000001</v>
      </c>
      <c r="W54" s="25"/>
    </row>
    <row r="55" spans="1:23" ht="15.75" x14ac:dyDescent="0.25">
      <c r="A55" s="12">
        <v>42</v>
      </c>
      <c r="B55" s="22" t="s">
        <v>284</v>
      </c>
      <c r="C55" s="19" t="s">
        <v>260</v>
      </c>
      <c r="D55" s="8" t="s">
        <v>236</v>
      </c>
      <c r="E55" s="66">
        <v>271.39999999999998</v>
      </c>
      <c r="F55" s="8">
        <f t="shared" ref="F55" si="338">E54</f>
        <v>263.8</v>
      </c>
      <c r="G55" s="17">
        <f t="shared" ref="G55" si="339">E55-F55</f>
        <v>7.5999999999999659</v>
      </c>
      <c r="H55" s="17">
        <f t="shared" si="198"/>
        <v>500</v>
      </c>
      <c r="I55" s="17">
        <f t="shared" ref="I55" si="340">G55*H55</f>
        <v>3799.9999999999827</v>
      </c>
      <c r="J55" s="66">
        <v>172.8</v>
      </c>
      <c r="K55" s="66">
        <f t="shared" ref="K55" si="341">J54</f>
        <v>171.9</v>
      </c>
      <c r="L55" s="17">
        <f t="shared" ref="L55" si="342">J55-K55</f>
        <v>0.90000000000000568</v>
      </c>
      <c r="M55" s="17">
        <f t="shared" si="202"/>
        <v>500</v>
      </c>
      <c r="N55" s="19">
        <f t="shared" ref="N55" si="343">L55*M55</f>
        <v>450.00000000000284</v>
      </c>
      <c r="O55" s="17">
        <f t="shared" si="326"/>
        <v>-3349.99999999998</v>
      </c>
      <c r="P55" s="66">
        <v>172.8</v>
      </c>
      <c r="Q55" s="66">
        <f t="shared" ref="Q55" si="344">P54</f>
        <v>171.9</v>
      </c>
      <c r="R55" s="19">
        <f t="shared" ref="R55" si="345">P55-Q55</f>
        <v>0.90000000000000568</v>
      </c>
      <c r="S55" s="17">
        <f t="shared" si="207"/>
        <v>500</v>
      </c>
      <c r="T55" s="19">
        <f t="shared" ref="T55" si="346">R55*S55</f>
        <v>450.00000000000284</v>
      </c>
      <c r="U55" s="66">
        <v>0.123</v>
      </c>
      <c r="V55" s="66">
        <v>0.58699999999999997</v>
      </c>
      <c r="W55" s="25"/>
    </row>
    <row r="56" spans="1:23" ht="15.75" x14ac:dyDescent="0.25">
      <c r="A56" s="12">
        <v>43</v>
      </c>
      <c r="B56" s="22" t="s">
        <v>286</v>
      </c>
      <c r="C56" s="19" t="s">
        <v>260</v>
      </c>
      <c r="D56" s="8" t="s">
        <v>236</v>
      </c>
      <c r="E56" s="66">
        <v>282.7</v>
      </c>
      <c r="F56" s="8">
        <f t="shared" ref="F56" si="347">E55</f>
        <v>271.39999999999998</v>
      </c>
      <c r="G56" s="17">
        <f t="shared" ref="G56" si="348">E56-F56</f>
        <v>11.300000000000011</v>
      </c>
      <c r="H56" s="17">
        <f t="shared" si="198"/>
        <v>500</v>
      </c>
      <c r="I56" s="17">
        <f t="shared" ref="I56" si="349">G56*H56</f>
        <v>5650.0000000000055</v>
      </c>
      <c r="J56" s="66">
        <v>172.8</v>
      </c>
      <c r="K56" s="66">
        <f t="shared" ref="K56" si="350">J55</f>
        <v>172.8</v>
      </c>
      <c r="L56" s="17">
        <f t="shared" ref="L56" si="351">J56-K56</f>
        <v>0</v>
      </c>
      <c r="M56" s="17">
        <f t="shared" si="202"/>
        <v>500</v>
      </c>
      <c r="N56" s="19">
        <f t="shared" ref="N56" si="352">L56*M56</f>
        <v>0</v>
      </c>
      <c r="O56" s="17">
        <f t="shared" ref="O56" si="353">N56-I56</f>
        <v>-5650.0000000000055</v>
      </c>
      <c r="P56" s="66">
        <v>172.8</v>
      </c>
      <c r="Q56" s="66">
        <f t="shared" ref="Q56" si="354">P55</f>
        <v>172.8</v>
      </c>
      <c r="R56" s="19">
        <f t="shared" ref="R56" si="355">P56-Q56</f>
        <v>0</v>
      </c>
      <c r="S56" s="17">
        <f t="shared" si="207"/>
        <v>500</v>
      </c>
      <c r="T56" s="19">
        <f t="shared" ref="T56" si="356">R56*S56</f>
        <v>0</v>
      </c>
      <c r="U56" s="66">
        <v>0.12</v>
      </c>
      <c r="V56" s="66">
        <v>0.63100000000000001</v>
      </c>
      <c r="W56" s="25"/>
    </row>
    <row r="57" spans="1:23" ht="15.75" x14ac:dyDescent="0.25">
      <c r="A57" s="12">
        <v>44</v>
      </c>
      <c r="B57" s="22" t="s">
        <v>288</v>
      </c>
      <c r="C57" s="19" t="s">
        <v>260</v>
      </c>
      <c r="D57" s="8" t="s">
        <v>236</v>
      </c>
      <c r="E57" s="66">
        <v>297.39999999999998</v>
      </c>
      <c r="F57" s="8">
        <f t="shared" ref="F57" si="357">E56</f>
        <v>282.7</v>
      </c>
      <c r="G57" s="17">
        <f t="shared" ref="G57" si="358">E57-F57</f>
        <v>14.699999999999989</v>
      </c>
      <c r="H57" s="17">
        <f t="shared" si="198"/>
        <v>500</v>
      </c>
      <c r="I57" s="17">
        <f t="shared" ref="I57" si="359">G57*H57</f>
        <v>7349.9999999999945</v>
      </c>
      <c r="J57" s="66">
        <v>172.8</v>
      </c>
      <c r="K57" s="66">
        <f t="shared" ref="K57" si="360">J56</f>
        <v>172.8</v>
      </c>
      <c r="L57" s="17">
        <f t="shared" ref="L57" si="361">J57-K57</f>
        <v>0</v>
      </c>
      <c r="M57" s="17">
        <f t="shared" si="202"/>
        <v>500</v>
      </c>
      <c r="N57" s="19">
        <f t="shared" ref="N57" si="362">L57*M57</f>
        <v>0</v>
      </c>
      <c r="O57" s="17">
        <f t="shared" ref="O57" si="363">N57-I57</f>
        <v>-7349.9999999999945</v>
      </c>
      <c r="P57" s="66">
        <v>172.8</v>
      </c>
      <c r="Q57" s="66">
        <f t="shared" ref="Q57" si="364">P56</f>
        <v>172.8</v>
      </c>
      <c r="R57" s="19">
        <f t="shared" ref="R57" si="365">P57-Q57</f>
        <v>0</v>
      </c>
      <c r="S57" s="17">
        <f t="shared" si="207"/>
        <v>500</v>
      </c>
      <c r="T57" s="19">
        <f t="shared" ref="T57" si="366">R57*S57</f>
        <v>0</v>
      </c>
      <c r="U57" s="66">
        <v>0.13500000000000001</v>
      </c>
      <c r="V57" s="66">
        <v>0.70899999999999996</v>
      </c>
      <c r="W57" s="25"/>
    </row>
    <row r="58" spans="1:23" ht="15.75" x14ac:dyDescent="0.25">
      <c r="A58" s="12">
        <v>45</v>
      </c>
      <c r="B58" s="22" t="s">
        <v>289</v>
      </c>
      <c r="C58" s="19" t="s">
        <v>260</v>
      </c>
      <c r="D58" s="8" t="s">
        <v>236</v>
      </c>
      <c r="E58" s="66">
        <v>310.3</v>
      </c>
      <c r="F58" s="8">
        <f t="shared" ref="F58" si="367">E57</f>
        <v>297.39999999999998</v>
      </c>
      <c r="G58" s="17">
        <f t="shared" ref="G58" si="368">E58-F58</f>
        <v>12.900000000000034</v>
      </c>
      <c r="H58" s="17">
        <f t="shared" si="198"/>
        <v>500</v>
      </c>
      <c r="I58" s="17">
        <f t="shared" ref="I58" si="369">G58*H58</f>
        <v>6450.0000000000173</v>
      </c>
      <c r="J58" s="66">
        <v>173.9</v>
      </c>
      <c r="K58" s="66">
        <f t="shared" ref="K58" si="370">J57</f>
        <v>172.8</v>
      </c>
      <c r="L58" s="17">
        <f t="shared" ref="L58" si="371">J58-K58</f>
        <v>1.0999999999999943</v>
      </c>
      <c r="M58" s="17">
        <f t="shared" si="202"/>
        <v>500</v>
      </c>
      <c r="N58" s="19">
        <f t="shared" ref="N58" si="372">L58*M58</f>
        <v>549.99999999999716</v>
      </c>
      <c r="O58" s="17">
        <f t="shared" ref="O58" si="373">N58-I58</f>
        <v>-5900.00000000002</v>
      </c>
      <c r="P58" s="66">
        <v>173.9</v>
      </c>
      <c r="Q58" s="66">
        <f t="shared" ref="Q58" si="374">P57</f>
        <v>172.8</v>
      </c>
      <c r="R58" s="19">
        <f t="shared" ref="R58" si="375">P58-Q58</f>
        <v>1.0999999999999943</v>
      </c>
      <c r="S58" s="17">
        <f t="shared" si="207"/>
        <v>500</v>
      </c>
      <c r="T58" s="19">
        <f t="shared" ref="T58" si="376">R58*S58</f>
        <v>549.99999999999716</v>
      </c>
      <c r="U58" s="66">
        <v>0.13100000000000001</v>
      </c>
      <c r="V58" s="66">
        <v>0.66400000000000003</v>
      </c>
      <c r="W58" s="25"/>
    </row>
    <row r="59" spans="1:23" ht="15.75" x14ac:dyDescent="0.25">
      <c r="A59" s="12">
        <v>46</v>
      </c>
      <c r="B59" s="22" t="s">
        <v>290</v>
      </c>
      <c r="C59" s="19" t="s">
        <v>260</v>
      </c>
      <c r="D59" s="8" t="s">
        <v>236</v>
      </c>
      <c r="E59" s="66">
        <v>320.10000000000002</v>
      </c>
      <c r="F59" s="8">
        <f>E58</f>
        <v>310.3</v>
      </c>
      <c r="G59" s="17">
        <f t="shared" ref="G59" si="377">E59-F59</f>
        <v>9.8000000000000114</v>
      </c>
      <c r="H59" s="17">
        <f t="shared" si="198"/>
        <v>500</v>
      </c>
      <c r="I59" s="17">
        <f t="shared" ref="I59" si="378">G59*H59</f>
        <v>4900.0000000000055</v>
      </c>
      <c r="J59" s="66">
        <v>175.8</v>
      </c>
      <c r="K59" s="66">
        <f t="shared" ref="K59" si="379">J58</f>
        <v>173.9</v>
      </c>
      <c r="L59" s="17">
        <f t="shared" ref="L59" si="380">J59-K59</f>
        <v>1.9000000000000057</v>
      </c>
      <c r="M59" s="17">
        <f t="shared" si="202"/>
        <v>500</v>
      </c>
      <c r="N59" s="19">
        <f t="shared" ref="N59" si="381">L59*M59</f>
        <v>950.00000000000284</v>
      </c>
      <c r="O59" s="17">
        <f t="shared" ref="O59" si="382">N59-I59</f>
        <v>-3950.0000000000027</v>
      </c>
      <c r="P59" s="66">
        <v>175.8</v>
      </c>
      <c r="Q59" s="66">
        <f t="shared" ref="Q59" si="383">P58</f>
        <v>173.9</v>
      </c>
      <c r="R59" s="19">
        <f t="shared" ref="R59" si="384">P59-Q59</f>
        <v>1.9000000000000057</v>
      </c>
      <c r="S59" s="17">
        <f t="shared" si="207"/>
        <v>500</v>
      </c>
      <c r="T59" s="19">
        <f t="shared" ref="T59" si="385">R59*S59</f>
        <v>950.00000000000284</v>
      </c>
      <c r="U59" s="66">
        <v>0.17899999999999999</v>
      </c>
      <c r="V59" s="66">
        <v>0.48799999999999999</v>
      </c>
      <c r="W59" s="25"/>
    </row>
    <row r="60" spans="1:23" ht="15.75" x14ac:dyDescent="0.25">
      <c r="A60" s="12">
        <v>47</v>
      </c>
      <c r="B60" s="22" t="s">
        <v>291</v>
      </c>
      <c r="C60" s="19" t="s">
        <v>260</v>
      </c>
      <c r="D60" s="8" t="s">
        <v>236</v>
      </c>
      <c r="E60" s="66">
        <v>330.2</v>
      </c>
      <c r="F60" s="8">
        <f t="shared" ref="F60:F67" si="386">E59</f>
        <v>320.10000000000002</v>
      </c>
      <c r="G60" s="17">
        <f t="shared" ref="G60:G67" si="387">E60-F60</f>
        <v>10.099999999999966</v>
      </c>
      <c r="H60" s="17">
        <f t="shared" si="198"/>
        <v>500</v>
      </c>
      <c r="I60" s="17">
        <f t="shared" ref="I60:I67" si="388">G60*H60</f>
        <v>5049.9999999999827</v>
      </c>
      <c r="J60" s="66">
        <v>177.4</v>
      </c>
      <c r="K60" s="66">
        <f t="shared" ref="K60:K67" si="389">J59</f>
        <v>175.8</v>
      </c>
      <c r="L60" s="17">
        <f t="shared" ref="L60:L67" si="390">J60-K60</f>
        <v>1.5999999999999943</v>
      </c>
      <c r="M60" s="17">
        <f t="shared" si="202"/>
        <v>500</v>
      </c>
      <c r="N60" s="19">
        <f t="shared" ref="N60:N67" si="391">L60*M60</f>
        <v>799.99999999999716</v>
      </c>
      <c r="O60" s="17">
        <f t="shared" ref="O60:O67" si="392">N60-I60</f>
        <v>-4249.9999999999854</v>
      </c>
      <c r="P60" s="66">
        <v>177.4</v>
      </c>
      <c r="Q60" s="66">
        <f t="shared" ref="Q60:Q67" si="393">P59</f>
        <v>175.8</v>
      </c>
      <c r="R60" s="19">
        <f t="shared" ref="R60:R67" si="394">P60-Q60</f>
        <v>1.5999999999999943</v>
      </c>
      <c r="S60" s="17">
        <f t="shared" si="207"/>
        <v>500</v>
      </c>
      <c r="T60" s="19">
        <f t="shared" ref="T60:T67" si="395">R60*S60</f>
        <v>799.99999999999716</v>
      </c>
      <c r="U60" s="66">
        <v>0.151</v>
      </c>
      <c r="V60" s="66">
        <v>0.57399999999999995</v>
      </c>
      <c r="W60" s="25"/>
    </row>
    <row r="61" spans="1:23" ht="15.75" x14ac:dyDescent="0.25">
      <c r="A61" s="12">
        <v>48</v>
      </c>
      <c r="B61" s="22" t="s">
        <v>292</v>
      </c>
      <c r="C61" s="19" t="s">
        <v>260</v>
      </c>
      <c r="D61" s="8" t="s">
        <v>236</v>
      </c>
      <c r="E61" s="66">
        <v>338.8</v>
      </c>
      <c r="F61" s="8">
        <f t="shared" si="386"/>
        <v>330.2</v>
      </c>
      <c r="G61" s="17">
        <f t="shared" si="387"/>
        <v>8.6000000000000227</v>
      </c>
      <c r="H61" s="17">
        <f t="shared" si="198"/>
        <v>500</v>
      </c>
      <c r="I61" s="17">
        <f t="shared" si="388"/>
        <v>4300.0000000000109</v>
      </c>
      <c r="J61" s="66">
        <v>179.4</v>
      </c>
      <c r="K61" s="66">
        <f t="shared" si="389"/>
        <v>177.4</v>
      </c>
      <c r="L61" s="17">
        <f t="shared" si="390"/>
        <v>2</v>
      </c>
      <c r="M61" s="17">
        <f t="shared" si="202"/>
        <v>500</v>
      </c>
      <c r="N61" s="19">
        <f t="shared" si="391"/>
        <v>1000</v>
      </c>
      <c r="O61" s="17">
        <f t="shared" si="392"/>
        <v>-3300.0000000000109</v>
      </c>
      <c r="P61" s="66">
        <v>179.4</v>
      </c>
      <c r="Q61" s="66">
        <f t="shared" si="393"/>
        <v>177.4</v>
      </c>
      <c r="R61" s="19">
        <f t="shared" si="394"/>
        <v>2</v>
      </c>
      <c r="S61" s="17">
        <f t="shared" si="207"/>
        <v>500</v>
      </c>
      <c r="T61" s="19">
        <f t="shared" si="395"/>
        <v>1000</v>
      </c>
      <c r="U61" s="66">
        <v>0.13</v>
      </c>
      <c r="V61" s="66">
        <v>0.57399999999999995</v>
      </c>
      <c r="W61" s="25"/>
    </row>
    <row r="62" spans="1:23" ht="15.75" x14ac:dyDescent="0.25">
      <c r="A62" s="164"/>
      <c r="B62" s="22"/>
      <c r="C62" s="161"/>
      <c r="D62" s="8"/>
      <c r="E62" s="66"/>
      <c r="F62" s="8"/>
      <c r="G62" s="162"/>
      <c r="H62" s="162"/>
      <c r="I62" s="162"/>
      <c r="J62" s="66"/>
      <c r="K62" s="66"/>
      <c r="L62" s="162"/>
      <c r="M62" s="162"/>
      <c r="N62" s="161"/>
      <c r="O62" s="162"/>
      <c r="P62" s="66"/>
      <c r="Q62" s="66"/>
      <c r="R62" s="161"/>
      <c r="S62" s="162"/>
      <c r="T62" s="161"/>
      <c r="U62" s="66"/>
      <c r="V62" s="66"/>
      <c r="W62" s="25"/>
    </row>
    <row r="63" spans="1:23" ht="15.75" x14ac:dyDescent="0.25">
      <c r="A63" s="12">
        <v>49</v>
      </c>
      <c r="B63" s="22" t="s">
        <v>293</v>
      </c>
      <c r="C63" s="19" t="s">
        <v>260</v>
      </c>
      <c r="D63" s="8" t="s">
        <v>236</v>
      </c>
      <c r="E63" s="66">
        <v>345.9</v>
      </c>
      <c r="F63" s="8">
        <f>E61</f>
        <v>338.8</v>
      </c>
      <c r="G63" s="17">
        <f t="shared" si="387"/>
        <v>7.0999999999999659</v>
      </c>
      <c r="H63" s="17">
        <f>H61</f>
        <v>500</v>
      </c>
      <c r="I63" s="17">
        <f t="shared" si="388"/>
        <v>3549.9999999999827</v>
      </c>
      <c r="J63" s="66">
        <v>182.4</v>
      </c>
      <c r="K63" s="66">
        <f>J61</f>
        <v>179.4</v>
      </c>
      <c r="L63" s="17">
        <f t="shared" si="390"/>
        <v>3</v>
      </c>
      <c r="M63" s="17">
        <f>M61</f>
        <v>500</v>
      </c>
      <c r="N63" s="19">
        <f t="shared" si="391"/>
        <v>1500</v>
      </c>
      <c r="O63" s="17">
        <f t="shared" si="392"/>
        <v>-2049.9999999999827</v>
      </c>
      <c r="P63" s="66">
        <v>182.4</v>
      </c>
      <c r="Q63" s="66">
        <f>P61</f>
        <v>179.4</v>
      </c>
      <c r="R63" s="19">
        <f t="shared" si="394"/>
        <v>3</v>
      </c>
      <c r="S63" s="17">
        <f>S61</f>
        <v>500</v>
      </c>
      <c r="T63" s="19">
        <f t="shared" si="395"/>
        <v>1500</v>
      </c>
      <c r="U63" s="66">
        <v>6.7000000000000004E-2</v>
      </c>
      <c r="V63" s="66">
        <v>0.6</v>
      </c>
      <c r="W63" s="25"/>
    </row>
    <row r="64" spans="1:23" ht="15.75" x14ac:dyDescent="0.25">
      <c r="A64" s="12">
        <v>50</v>
      </c>
      <c r="B64" s="22" t="s">
        <v>294</v>
      </c>
      <c r="C64" s="19" t="s">
        <v>260</v>
      </c>
      <c r="D64" s="8" t="s">
        <v>236</v>
      </c>
      <c r="E64" s="66">
        <v>353.9</v>
      </c>
      <c r="F64" s="8">
        <f t="shared" si="386"/>
        <v>345.9</v>
      </c>
      <c r="G64" s="17">
        <f t="shared" si="387"/>
        <v>8</v>
      </c>
      <c r="H64" s="17">
        <f t="shared" si="198"/>
        <v>500</v>
      </c>
      <c r="I64" s="17">
        <f t="shared" si="388"/>
        <v>4000</v>
      </c>
      <c r="J64" s="66">
        <v>185.4</v>
      </c>
      <c r="K64" s="66">
        <f t="shared" si="389"/>
        <v>182.4</v>
      </c>
      <c r="L64" s="17">
        <f t="shared" si="390"/>
        <v>3</v>
      </c>
      <c r="M64" s="17">
        <f t="shared" si="202"/>
        <v>500</v>
      </c>
      <c r="N64" s="19">
        <f t="shared" si="391"/>
        <v>1500</v>
      </c>
      <c r="O64" s="17">
        <f t="shared" si="392"/>
        <v>-2500</v>
      </c>
      <c r="P64" s="66">
        <v>185.4</v>
      </c>
      <c r="Q64" s="66">
        <f t="shared" si="393"/>
        <v>182.4</v>
      </c>
      <c r="R64" s="19">
        <f t="shared" si="394"/>
        <v>3</v>
      </c>
      <c r="S64" s="17">
        <f t="shared" si="207"/>
        <v>500</v>
      </c>
      <c r="T64" s="19">
        <f t="shared" si="395"/>
        <v>1500</v>
      </c>
      <c r="U64" s="66">
        <v>0.154</v>
      </c>
      <c r="V64" s="66">
        <v>0.53600000000000003</v>
      </c>
      <c r="W64" s="25"/>
    </row>
    <row r="65" spans="1:23" ht="15.75" x14ac:dyDescent="0.25">
      <c r="A65" s="12">
        <v>51</v>
      </c>
      <c r="B65" s="22" t="s">
        <v>295</v>
      </c>
      <c r="C65" s="19" t="s">
        <v>260</v>
      </c>
      <c r="D65" s="8" t="s">
        <v>236</v>
      </c>
      <c r="E65" s="66">
        <v>359.9</v>
      </c>
      <c r="F65" s="8">
        <f t="shared" si="386"/>
        <v>353.9</v>
      </c>
      <c r="G65" s="17">
        <f t="shared" si="387"/>
        <v>6</v>
      </c>
      <c r="H65" s="17">
        <f t="shared" si="198"/>
        <v>500</v>
      </c>
      <c r="I65" s="17">
        <f t="shared" si="388"/>
        <v>3000</v>
      </c>
      <c r="J65" s="66">
        <v>189.3</v>
      </c>
      <c r="K65" s="66">
        <f t="shared" si="389"/>
        <v>185.4</v>
      </c>
      <c r="L65" s="17">
        <f t="shared" si="390"/>
        <v>3.9000000000000057</v>
      </c>
      <c r="M65" s="17">
        <f t="shared" si="202"/>
        <v>500</v>
      </c>
      <c r="N65" s="19">
        <f t="shared" si="391"/>
        <v>1950.0000000000027</v>
      </c>
      <c r="O65" s="17">
        <f t="shared" si="392"/>
        <v>-1049.9999999999973</v>
      </c>
      <c r="P65" s="66">
        <v>189.3</v>
      </c>
      <c r="Q65" s="66">
        <f t="shared" si="393"/>
        <v>185.4</v>
      </c>
      <c r="R65" s="19">
        <f t="shared" si="394"/>
        <v>3.9000000000000057</v>
      </c>
      <c r="S65" s="17">
        <f t="shared" si="207"/>
        <v>500</v>
      </c>
      <c r="T65" s="19">
        <f t="shared" si="395"/>
        <v>1950.0000000000027</v>
      </c>
      <c r="U65" s="66">
        <v>7.9000000000000001E-2</v>
      </c>
      <c r="V65" s="66">
        <v>0.33700000000000002</v>
      </c>
      <c r="W65" s="25"/>
    </row>
    <row r="66" spans="1:23" ht="15.75" x14ac:dyDescent="0.25">
      <c r="A66" s="12">
        <v>52</v>
      </c>
      <c r="B66" s="22" t="s">
        <v>296</v>
      </c>
      <c r="C66" s="19" t="s">
        <v>260</v>
      </c>
      <c r="D66" s="8" t="s">
        <v>236</v>
      </c>
      <c r="E66" s="66">
        <v>369.7</v>
      </c>
      <c r="F66" s="8">
        <f t="shared" si="386"/>
        <v>359.9</v>
      </c>
      <c r="G66" s="17">
        <f t="shared" si="387"/>
        <v>9.8000000000000114</v>
      </c>
      <c r="H66" s="17">
        <f t="shared" si="198"/>
        <v>500</v>
      </c>
      <c r="I66" s="17">
        <f t="shared" si="388"/>
        <v>4900.0000000000055</v>
      </c>
      <c r="J66" s="66">
        <v>191.4</v>
      </c>
      <c r="K66" s="66">
        <f t="shared" si="389"/>
        <v>189.3</v>
      </c>
      <c r="L66" s="17">
        <f t="shared" si="390"/>
        <v>2.0999999999999943</v>
      </c>
      <c r="M66" s="17">
        <f t="shared" si="202"/>
        <v>500</v>
      </c>
      <c r="N66" s="19">
        <f t="shared" si="391"/>
        <v>1049.9999999999973</v>
      </c>
      <c r="O66" s="17">
        <f t="shared" si="392"/>
        <v>-3850.0000000000082</v>
      </c>
      <c r="P66" s="66">
        <v>191.4</v>
      </c>
      <c r="Q66" s="66">
        <f t="shared" si="393"/>
        <v>189.3</v>
      </c>
      <c r="R66" s="19">
        <f t="shared" si="394"/>
        <v>2.0999999999999943</v>
      </c>
      <c r="S66" s="17">
        <f t="shared" si="207"/>
        <v>500</v>
      </c>
      <c r="T66" s="19">
        <f t="shared" si="395"/>
        <v>1049.9999999999973</v>
      </c>
      <c r="U66" s="66">
        <v>0.151</v>
      </c>
      <c r="V66" s="66">
        <v>0.32</v>
      </c>
      <c r="W66" s="25"/>
    </row>
    <row r="67" spans="1:23" ht="15.75" x14ac:dyDescent="0.25">
      <c r="A67" s="12">
        <v>53</v>
      </c>
      <c r="B67" s="22" t="s">
        <v>297</v>
      </c>
      <c r="C67" s="19" t="s">
        <v>260</v>
      </c>
      <c r="D67" s="8" t="s">
        <v>236</v>
      </c>
      <c r="E67" s="66">
        <v>377</v>
      </c>
      <c r="F67" s="8">
        <f t="shared" si="386"/>
        <v>369.7</v>
      </c>
      <c r="G67" s="17">
        <f t="shared" si="387"/>
        <v>7.3000000000000114</v>
      </c>
      <c r="H67" s="17">
        <f t="shared" si="198"/>
        <v>500</v>
      </c>
      <c r="I67" s="17">
        <f t="shared" si="388"/>
        <v>3650.0000000000055</v>
      </c>
      <c r="J67" s="66">
        <v>193</v>
      </c>
      <c r="K67" s="66">
        <f t="shared" si="389"/>
        <v>191.4</v>
      </c>
      <c r="L67" s="17">
        <f t="shared" si="390"/>
        <v>1.5999999999999943</v>
      </c>
      <c r="M67" s="17">
        <f t="shared" si="202"/>
        <v>500</v>
      </c>
      <c r="N67" s="19">
        <f t="shared" si="391"/>
        <v>799.99999999999716</v>
      </c>
      <c r="O67" s="17">
        <f t="shared" si="392"/>
        <v>-2850.0000000000082</v>
      </c>
      <c r="P67" s="66">
        <v>193</v>
      </c>
      <c r="Q67" s="66">
        <f t="shared" si="393"/>
        <v>191.4</v>
      </c>
      <c r="R67" s="19">
        <f t="shared" si="394"/>
        <v>1.5999999999999943</v>
      </c>
      <c r="S67" s="17">
        <f t="shared" si="207"/>
        <v>500</v>
      </c>
      <c r="T67" s="19">
        <f t="shared" si="395"/>
        <v>799.99999999999716</v>
      </c>
      <c r="U67" s="66">
        <v>0.14000000000000001</v>
      </c>
      <c r="V67" s="66">
        <v>0.57999999999999996</v>
      </c>
      <c r="W67" s="25"/>
    </row>
    <row r="68" spans="1:23" ht="15.75" x14ac:dyDescent="0.25">
      <c r="A68" s="12">
        <v>54</v>
      </c>
      <c r="B68" s="22" t="s">
        <v>298</v>
      </c>
      <c r="C68" s="19" t="s">
        <v>260</v>
      </c>
      <c r="D68" s="8" t="s">
        <v>236</v>
      </c>
      <c r="E68" s="66">
        <v>382.1</v>
      </c>
      <c r="F68" s="8">
        <f t="shared" ref="F68" si="396">E67</f>
        <v>377</v>
      </c>
      <c r="G68" s="17">
        <f t="shared" ref="G68" si="397">E68-F68</f>
        <v>5.1000000000000227</v>
      </c>
      <c r="H68" s="17">
        <f t="shared" si="198"/>
        <v>500</v>
      </c>
      <c r="I68" s="17">
        <f t="shared" ref="I68" si="398">G68*H68</f>
        <v>2550.0000000000114</v>
      </c>
      <c r="J68" s="66">
        <v>195.2</v>
      </c>
      <c r="K68" s="66">
        <f t="shared" ref="K68" si="399">J67</f>
        <v>193</v>
      </c>
      <c r="L68" s="17">
        <f t="shared" ref="L68" si="400">J68-K68</f>
        <v>2.1999999999999886</v>
      </c>
      <c r="M68" s="17">
        <f t="shared" si="202"/>
        <v>500</v>
      </c>
      <c r="N68" s="19">
        <f t="shared" ref="N68" si="401">L68*M68</f>
        <v>1099.9999999999943</v>
      </c>
      <c r="O68" s="17">
        <f t="shared" ref="O68" si="402">N68-I68</f>
        <v>-1450.0000000000171</v>
      </c>
      <c r="P68" s="66">
        <v>195.2</v>
      </c>
      <c r="Q68" s="66">
        <f t="shared" ref="Q68" si="403">P67</f>
        <v>193</v>
      </c>
      <c r="R68" s="19">
        <f t="shared" ref="R68" si="404">P68-Q68</f>
        <v>2.1999999999999886</v>
      </c>
      <c r="S68" s="17">
        <f t="shared" si="207"/>
        <v>500</v>
      </c>
      <c r="T68" s="19">
        <f t="shared" ref="T68" si="405">R68*S68</f>
        <v>1099.9999999999943</v>
      </c>
      <c r="U68" s="66"/>
      <c r="V68" s="66">
        <v>0.92400000000000004</v>
      </c>
      <c r="W68" s="25"/>
    </row>
    <row r="69" spans="1:23" ht="15.75" x14ac:dyDescent="0.25">
      <c r="A69" s="12">
        <v>55</v>
      </c>
      <c r="B69" s="22" t="s">
        <v>299</v>
      </c>
      <c r="C69" s="19" t="s">
        <v>260</v>
      </c>
      <c r="D69" s="8" t="s">
        <v>236</v>
      </c>
      <c r="E69" s="66">
        <v>385.6</v>
      </c>
      <c r="F69" s="8">
        <f t="shared" ref="F69" si="406">E68</f>
        <v>382.1</v>
      </c>
      <c r="G69" s="17">
        <f t="shared" ref="G69" si="407">E69-F69</f>
        <v>3.5</v>
      </c>
      <c r="H69" s="17">
        <f t="shared" si="198"/>
        <v>500</v>
      </c>
      <c r="I69" s="17">
        <f t="shared" ref="I69" si="408">G69*H69</f>
        <v>1750</v>
      </c>
      <c r="J69" s="66">
        <v>197.9</v>
      </c>
      <c r="K69" s="66">
        <f t="shared" ref="K69" si="409">J68</f>
        <v>195.2</v>
      </c>
      <c r="L69" s="17">
        <f t="shared" ref="L69" si="410">J69-K69</f>
        <v>2.7000000000000171</v>
      </c>
      <c r="M69" s="17">
        <f t="shared" si="202"/>
        <v>500</v>
      </c>
      <c r="N69" s="19">
        <f t="shared" ref="N69" si="411">L69*M69</f>
        <v>1350.0000000000086</v>
      </c>
      <c r="O69" s="17">
        <f t="shared" ref="O69" si="412">N69-I69</f>
        <v>-399.99999999999136</v>
      </c>
      <c r="P69" s="66">
        <v>197.9</v>
      </c>
      <c r="Q69" s="66">
        <f t="shared" ref="Q69" si="413">P68</f>
        <v>195.2</v>
      </c>
      <c r="R69" s="19">
        <f t="shared" ref="R69" si="414">P69-Q69</f>
        <v>2.7000000000000171</v>
      </c>
      <c r="S69" s="17">
        <f t="shared" si="207"/>
        <v>500</v>
      </c>
      <c r="T69" s="19">
        <f t="shared" ref="T69" si="415">R69*S69</f>
        <v>1350.0000000000086</v>
      </c>
      <c r="U69" s="66">
        <v>0.10199999999999999</v>
      </c>
      <c r="V69" s="66">
        <v>0.52</v>
      </c>
      <c r="W69" s="25"/>
    </row>
    <row r="70" spans="1:23" ht="15.75" x14ac:dyDescent="0.25">
      <c r="A70" s="12">
        <v>56</v>
      </c>
      <c r="B70" s="22" t="s">
        <v>300</v>
      </c>
      <c r="C70" s="19" t="s">
        <v>260</v>
      </c>
      <c r="D70" s="8" t="s">
        <v>236</v>
      </c>
      <c r="E70" s="66">
        <v>388.6</v>
      </c>
      <c r="F70" s="8">
        <f t="shared" ref="F70" si="416">E69</f>
        <v>385.6</v>
      </c>
      <c r="G70" s="17">
        <f t="shared" ref="G70" si="417">E70-F70</f>
        <v>3</v>
      </c>
      <c r="H70" s="17">
        <f t="shared" si="198"/>
        <v>500</v>
      </c>
      <c r="I70" s="17">
        <f t="shared" ref="I70" si="418">G70*H70</f>
        <v>1500</v>
      </c>
      <c r="J70" s="66">
        <v>200.4</v>
      </c>
      <c r="K70" s="66">
        <f t="shared" ref="K70" si="419">J69</f>
        <v>197.9</v>
      </c>
      <c r="L70" s="17">
        <f t="shared" ref="L70" si="420">J70-K70</f>
        <v>2.5</v>
      </c>
      <c r="M70" s="17">
        <f t="shared" si="202"/>
        <v>500</v>
      </c>
      <c r="N70" s="19">
        <f t="shared" ref="N70" si="421">L70*M70</f>
        <v>1250</v>
      </c>
      <c r="O70" s="17">
        <f t="shared" ref="O70" si="422">N70-I70</f>
        <v>-250</v>
      </c>
      <c r="P70" s="66">
        <v>200.4</v>
      </c>
      <c r="Q70" s="66">
        <f t="shared" ref="Q70" si="423">P69</f>
        <v>197.9</v>
      </c>
      <c r="R70" s="19">
        <f t="shared" ref="R70" si="424">P70-Q70</f>
        <v>2.5</v>
      </c>
      <c r="S70" s="17">
        <f t="shared" si="207"/>
        <v>500</v>
      </c>
      <c r="T70" s="19">
        <f t="shared" ref="T70" si="425">R70*S70</f>
        <v>1250</v>
      </c>
      <c r="U70" s="66"/>
      <c r="V70" s="66"/>
      <c r="W70" s="25"/>
    </row>
    <row r="71" spans="1:23" ht="15.75" x14ac:dyDescent="0.25">
      <c r="A71" s="12">
        <v>57</v>
      </c>
      <c r="B71" s="22" t="s">
        <v>301</v>
      </c>
      <c r="C71" s="19" t="s">
        <v>260</v>
      </c>
      <c r="D71" s="8" t="s">
        <v>236</v>
      </c>
      <c r="E71" s="66">
        <v>392.7</v>
      </c>
      <c r="F71" s="8">
        <f t="shared" ref="F71:F74" si="426">E70</f>
        <v>388.6</v>
      </c>
      <c r="G71" s="17">
        <f t="shared" ref="G71:G74" si="427">E71-F71</f>
        <v>4.0999999999999659</v>
      </c>
      <c r="H71" s="17">
        <f t="shared" si="198"/>
        <v>500</v>
      </c>
      <c r="I71" s="17">
        <f t="shared" ref="I71:I74" si="428">G71*H71</f>
        <v>2049.9999999999827</v>
      </c>
      <c r="J71" s="66">
        <v>202.9</v>
      </c>
      <c r="K71" s="66">
        <f t="shared" ref="K71:K74" si="429">J70</f>
        <v>200.4</v>
      </c>
      <c r="L71" s="17">
        <f t="shared" ref="L71:L74" si="430">J71-K71</f>
        <v>2.5</v>
      </c>
      <c r="M71" s="17">
        <f t="shared" si="202"/>
        <v>500</v>
      </c>
      <c r="N71" s="19">
        <f t="shared" ref="N71:N74" si="431">L71*M71</f>
        <v>1250</v>
      </c>
      <c r="O71" s="17">
        <f t="shared" ref="O71:O74" si="432">N71-I71</f>
        <v>-799.99999999998272</v>
      </c>
      <c r="P71" s="66">
        <v>202.9</v>
      </c>
      <c r="Q71" s="66">
        <f t="shared" ref="Q71:Q74" si="433">P70</f>
        <v>200.4</v>
      </c>
      <c r="R71" s="19">
        <f t="shared" ref="R71:R74" si="434">P71-Q71</f>
        <v>2.5</v>
      </c>
      <c r="S71" s="17">
        <f t="shared" si="207"/>
        <v>500</v>
      </c>
      <c r="T71" s="19">
        <f t="shared" ref="T71:T74" si="435">R71*S71</f>
        <v>1250</v>
      </c>
      <c r="U71" s="66">
        <v>1.7000000000000001E-2</v>
      </c>
      <c r="V71" s="66">
        <v>0.78</v>
      </c>
      <c r="W71" s="25"/>
    </row>
    <row r="72" spans="1:23" ht="15.75" x14ac:dyDescent="0.25">
      <c r="A72" s="105">
        <v>58</v>
      </c>
      <c r="B72" s="22" t="s">
        <v>302</v>
      </c>
      <c r="C72" s="111" t="s">
        <v>260</v>
      </c>
      <c r="D72" s="8" t="s">
        <v>236</v>
      </c>
      <c r="E72" s="66">
        <v>396</v>
      </c>
      <c r="F72" s="8">
        <f t="shared" si="426"/>
        <v>392.7</v>
      </c>
      <c r="G72" s="106">
        <f t="shared" si="427"/>
        <v>3.3000000000000114</v>
      </c>
      <c r="H72" s="106">
        <f t="shared" si="198"/>
        <v>500</v>
      </c>
      <c r="I72" s="106">
        <f t="shared" si="428"/>
        <v>1650.0000000000057</v>
      </c>
      <c r="J72" s="66">
        <v>206.1</v>
      </c>
      <c r="K72" s="66">
        <f t="shared" si="429"/>
        <v>202.9</v>
      </c>
      <c r="L72" s="106">
        <f t="shared" si="430"/>
        <v>3.1999999999999886</v>
      </c>
      <c r="M72" s="106">
        <f t="shared" si="202"/>
        <v>500</v>
      </c>
      <c r="N72" s="111">
        <f t="shared" si="431"/>
        <v>1599.9999999999943</v>
      </c>
      <c r="O72" s="106">
        <f t="shared" si="432"/>
        <v>-50.000000000011369</v>
      </c>
      <c r="P72" s="66">
        <v>206.1</v>
      </c>
      <c r="Q72" s="66">
        <f t="shared" si="433"/>
        <v>202.9</v>
      </c>
      <c r="R72" s="111">
        <f t="shared" si="434"/>
        <v>3.1999999999999886</v>
      </c>
      <c r="S72" s="106">
        <f t="shared" si="207"/>
        <v>500</v>
      </c>
      <c r="T72" s="111">
        <f t="shared" si="435"/>
        <v>1599.9999999999943</v>
      </c>
      <c r="U72" s="66">
        <v>1.0999999999999999E-2</v>
      </c>
      <c r="V72" s="66">
        <v>0.75600000000000001</v>
      </c>
      <c r="W72" s="25"/>
    </row>
    <row r="73" spans="1:23" ht="15.75" x14ac:dyDescent="0.25">
      <c r="A73" s="120">
        <v>59</v>
      </c>
      <c r="B73" s="116" t="s">
        <v>303</v>
      </c>
      <c r="C73" s="118" t="s">
        <v>260</v>
      </c>
      <c r="D73" s="8" t="s">
        <v>236</v>
      </c>
      <c r="E73" s="66">
        <v>398.3</v>
      </c>
      <c r="F73" s="8">
        <f t="shared" si="426"/>
        <v>396</v>
      </c>
      <c r="G73" s="119">
        <f t="shared" si="427"/>
        <v>2.3000000000000114</v>
      </c>
      <c r="H73" s="119">
        <f t="shared" si="198"/>
        <v>500</v>
      </c>
      <c r="I73" s="119">
        <f t="shared" si="428"/>
        <v>1150.0000000000057</v>
      </c>
      <c r="J73" s="66">
        <v>209.9</v>
      </c>
      <c r="K73" s="66">
        <f t="shared" si="429"/>
        <v>206.1</v>
      </c>
      <c r="L73" s="119">
        <f t="shared" si="430"/>
        <v>3.8000000000000114</v>
      </c>
      <c r="M73" s="119">
        <f t="shared" si="202"/>
        <v>500</v>
      </c>
      <c r="N73" s="118">
        <f t="shared" si="431"/>
        <v>1900.0000000000057</v>
      </c>
      <c r="O73" s="119">
        <f t="shared" si="432"/>
        <v>750</v>
      </c>
      <c r="P73" s="66">
        <v>209.9</v>
      </c>
      <c r="Q73" s="66">
        <f t="shared" si="433"/>
        <v>206.1</v>
      </c>
      <c r="R73" s="118">
        <f t="shared" si="434"/>
        <v>3.8000000000000114</v>
      </c>
      <c r="S73" s="119">
        <f t="shared" si="207"/>
        <v>500</v>
      </c>
      <c r="T73" s="118">
        <f t="shared" si="435"/>
        <v>1900.0000000000057</v>
      </c>
      <c r="U73" s="66">
        <v>1.2E-2</v>
      </c>
      <c r="V73" s="66">
        <v>0.53800000000000003</v>
      </c>
      <c r="W73" s="25"/>
    </row>
    <row r="74" spans="1:23" ht="15.75" x14ac:dyDescent="0.25">
      <c r="A74" s="125">
        <v>60</v>
      </c>
      <c r="B74" s="116" t="s">
        <v>305</v>
      </c>
      <c r="C74" s="123" t="s">
        <v>260</v>
      </c>
      <c r="D74" s="8" t="s">
        <v>236</v>
      </c>
      <c r="E74" s="66">
        <v>401.1</v>
      </c>
      <c r="F74" s="8">
        <f t="shared" si="426"/>
        <v>398.3</v>
      </c>
      <c r="G74" s="127">
        <f t="shared" si="427"/>
        <v>2.8000000000000114</v>
      </c>
      <c r="H74" s="127">
        <f t="shared" si="198"/>
        <v>500</v>
      </c>
      <c r="I74" s="127">
        <f t="shared" si="428"/>
        <v>1400.0000000000057</v>
      </c>
      <c r="J74" s="66">
        <v>213.4</v>
      </c>
      <c r="K74" s="66">
        <f t="shared" si="429"/>
        <v>209.9</v>
      </c>
      <c r="L74" s="127">
        <f t="shared" si="430"/>
        <v>3.5</v>
      </c>
      <c r="M74" s="127">
        <f t="shared" si="202"/>
        <v>500</v>
      </c>
      <c r="N74" s="129">
        <f t="shared" si="431"/>
        <v>1750</v>
      </c>
      <c r="O74" s="127">
        <f t="shared" si="432"/>
        <v>349.99999999999432</v>
      </c>
      <c r="P74" s="66">
        <v>213.4</v>
      </c>
      <c r="Q74" s="66">
        <f t="shared" si="433"/>
        <v>209.9</v>
      </c>
      <c r="R74" s="129">
        <f t="shared" si="434"/>
        <v>3.5</v>
      </c>
      <c r="S74" s="127">
        <f t="shared" si="207"/>
        <v>500</v>
      </c>
      <c r="T74" s="129">
        <f t="shared" si="435"/>
        <v>1750</v>
      </c>
      <c r="U74" s="66">
        <v>0.02</v>
      </c>
      <c r="V74" s="66">
        <v>0.42399999999999999</v>
      </c>
      <c r="W74" s="25"/>
    </row>
    <row r="75" spans="1:23" ht="15.75" x14ac:dyDescent="0.25">
      <c r="A75" s="164"/>
      <c r="B75" s="116"/>
      <c r="C75" s="161"/>
      <c r="D75" s="8"/>
      <c r="E75" s="66"/>
      <c r="F75" s="8"/>
      <c r="G75" s="162"/>
      <c r="H75" s="162"/>
      <c r="I75" s="162"/>
      <c r="J75" s="66"/>
      <c r="K75" s="66"/>
      <c r="L75" s="162"/>
      <c r="M75" s="162"/>
      <c r="N75" s="161"/>
      <c r="O75" s="162"/>
      <c r="P75" s="66"/>
      <c r="Q75" s="66"/>
      <c r="R75" s="161"/>
      <c r="S75" s="162"/>
      <c r="T75" s="161"/>
      <c r="U75" s="66"/>
      <c r="V75" s="66"/>
      <c r="W75" s="25"/>
    </row>
    <row r="76" spans="1:23" ht="15.75" x14ac:dyDescent="0.25">
      <c r="A76" s="125">
        <v>61</v>
      </c>
      <c r="B76" s="116" t="s">
        <v>306</v>
      </c>
      <c r="C76" s="123" t="s">
        <v>260</v>
      </c>
      <c r="D76" s="8" t="s">
        <v>236</v>
      </c>
      <c r="E76" s="66">
        <v>404</v>
      </c>
      <c r="F76" s="8">
        <f t="shared" ref="F76" si="436">E74</f>
        <v>401.1</v>
      </c>
      <c r="G76" s="127">
        <f t="shared" ref="G76" si="437">E76-F76</f>
        <v>2.8999999999999773</v>
      </c>
      <c r="H76" s="127">
        <f>H74</f>
        <v>500</v>
      </c>
      <c r="I76" s="127">
        <f t="shared" ref="I76" si="438">G76*H76</f>
        <v>1449.9999999999886</v>
      </c>
      <c r="J76" s="66">
        <v>216.2</v>
      </c>
      <c r="K76" s="66">
        <f t="shared" ref="K76" si="439">J74</f>
        <v>213.4</v>
      </c>
      <c r="L76" s="127">
        <f t="shared" ref="L76" si="440">J76-K76</f>
        <v>2.7999999999999829</v>
      </c>
      <c r="M76" s="127">
        <f>M74</f>
        <v>500</v>
      </c>
      <c r="N76" s="129">
        <f t="shared" ref="N76" si="441">L76*M76</f>
        <v>1399.9999999999914</v>
      </c>
      <c r="O76" s="127">
        <f t="shared" ref="O76" si="442">N76-I76</f>
        <v>-49.999999999997272</v>
      </c>
      <c r="P76" s="66">
        <v>216.2</v>
      </c>
      <c r="Q76" s="66">
        <f t="shared" ref="Q76" si="443">P74</f>
        <v>213.4</v>
      </c>
      <c r="R76" s="129">
        <f t="shared" ref="R76" si="444">P76-Q76</f>
        <v>2.7999999999999829</v>
      </c>
      <c r="S76" s="127">
        <f>S74</f>
        <v>500</v>
      </c>
      <c r="T76" s="129">
        <f t="shared" ref="T76" si="445">R76*S76</f>
        <v>1399.9999999999914</v>
      </c>
      <c r="U76" s="66">
        <v>8.9999999999999993E-3</v>
      </c>
      <c r="V76" s="66">
        <v>0.44900000000000001</v>
      </c>
      <c r="W76" s="25"/>
    </row>
    <row r="77" spans="1:23" ht="15.75" x14ac:dyDescent="0.25">
      <c r="A77" s="126">
        <v>62</v>
      </c>
      <c r="B77" s="116" t="s">
        <v>307</v>
      </c>
      <c r="C77" s="129" t="s">
        <v>260</v>
      </c>
      <c r="D77" s="8" t="s">
        <v>236</v>
      </c>
      <c r="E77" s="66">
        <v>406.8</v>
      </c>
      <c r="F77" s="8">
        <f t="shared" ref="F77" si="446">E76</f>
        <v>404</v>
      </c>
      <c r="G77" s="136">
        <f t="shared" ref="G77" si="447">E77-F77</f>
        <v>2.8000000000000114</v>
      </c>
      <c r="H77" s="136">
        <f t="shared" si="198"/>
        <v>500</v>
      </c>
      <c r="I77" s="136">
        <f t="shared" ref="I77" si="448">G77*H77</f>
        <v>1400.0000000000057</v>
      </c>
      <c r="J77" s="66">
        <v>218.6</v>
      </c>
      <c r="K77" s="66">
        <f t="shared" ref="K77" si="449">J76</f>
        <v>216.2</v>
      </c>
      <c r="L77" s="136">
        <f t="shared" ref="L77" si="450">J77-K77</f>
        <v>2.4000000000000057</v>
      </c>
      <c r="M77" s="136">
        <f t="shared" si="202"/>
        <v>500</v>
      </c>
      <c r="N77" s="138">
        <f t="shared" ref="N77" si="451">L77*M77</f>
        <v>1200.0000000000027</v>
      </c>
      <c r="O77" s="136">
        <f t="shared" ref="O77" si="452">N77-I77</f>
        <v>-200.00000000000296</v>
      </c>
      <c r="P77" s="66">
        <v>218.6</v>
      </c>
      <c r="Q77" s="66">
        <f t="shared" ref="Q77" si="453">P76</f>
        <v>216.2</v>
      </c>
      <c r="R77" s="138">
        <f t="shared" ref="R77" si="454">P77-Q77</f>
        <v>2.4000000000000057</v>
      </c>
      <c r="S77" s="136">
        <f t="shared" si="207"/>
        <v>500</v>
      </c>
      <c r="T77" s="138">
        <f t="shared" ref="T77" si="455">R77*S77</f>
        <v>1200.0000000000027</v>
      </c>
      <c r="U77" s="66">
        <v>5.0000000000000001E-3</v>
      </c>
      <c r="V77" s="66">
        <v>0.48</v>
      </c>
      <c r="W77" s="25"/>
    </row>
    <row r="78" spans="1:23" ht="15.75" x14ac:dyDescent="0.25">
      <c r="A78" s="135">
        <v>63</v>
      </c>
      <c r="B78" s="116" t="s">
        <v>309</v>
      </c>
      <c r="C78" s="138" t="s">
        <v>260</v>
      </c>
      <c r="D78" s="8" t="s">
        <v>236</v>
      </c>
      <c r="E78" s="66">
        <v>409.9</v>
      </c>
      <c r="F78" s="8">
        <f t="shared" ref="F78" si="456">E77</f>
        <v>406.8</v>
      </c>
      <c r="G78" s="136">
        <f t="shared" ref="G78:G80" si="457">E78-F78</f>
        <v>3.0999999999999659</v>
      </c>
      <c r="H78" s="136">
        <f t="shared" si="198"/>
        <v>500</v>
      </c>
      <c r="I78" s="136">
        <f t="shared" ref="I78:I80" si="458">G78*H78</f>
        <v>1549.9999999999829</v>
      </c>
      <c r="J78" s="66">
        <v>220.4</v>
      </c>
      <c r="K78" s="66">
        <f t="shared" ref="K78" si="459">J77</f>
        <v>218.6</v>
      </c>
      <c r="L78" s="136">
        <f t="shared" ref="L78:L80" si="460">J78-K78</f>
        <v>1.8000000000000114</v>
      </c>
      <c r="M78" s="136">
        <f t="shared" si="202"/>
        <v>500</v>
      </c>
      <c r="N78" s="138">
        <f t="shared" ref="N78:N80" si="461">L78*M78</f>
        <v>900.00000000000568</v>
      </c>
      <c r="O78" s="136">
        <f t="shared" ref="O78:O80" si="462">N78-I78</f>
        <v>-649.99999999997726</v>
      </c>
      <c r="P78" s="66">
        <v>220.4</v>
      </c>
      <c r="Q78" s="66">
        <f t="shared" ref="Q78" si="463">P77</f>
        <v>218.6</v>
      </c>
      <c r="R78" s="138">
        <f t="shared" ref="R78:R80" si="464">P78-Q78</f>
        <v>1.8000000000000114</v>
      </c>
      <c r="S78" s="136">
        <f t="shared" si="207"/>
        <v>500</v>
      </c>
      <c r="T78" s="138">
        <f t="shared" ref="T78:T80" si="465">R78*S78</f>
        <v>900.00000000000568</v>
      </c>
      <c r="U78" s="66">
        <v>1.7000000000000001E-2</v>
      </c>
      <c r="V78" s="66">
        <v>0.55500000000000005</v>
      </c>
      <c r="W78" s="25"/>
    </row>
    <row r="79" spans="1:23" ht="15.75" x14ac:dyDescent="0.25">
      <c r="A79" s="146">
        <v>64</v>
      </c>
      <c r="B79" s="116" t="s">
        <v>310</v>
      </c>
      <c r="C79" s="144" t="s">
        <v>260</v>
      </c>
      <c r="D79" s="8" t="s">
        <v>236</v>
      </c>
      <c r="E79" s="147">
        <v>413.7</v>
      </c>
      <c r="F79" s="8">
        <f t="shared" ref="F79" si="466">E77</f>
        <v>406.8</v>
      </c>
      <c r="G79" s="145">
        <f t="shared" si="457"/>
        <v>6.8999999999999773</v>
      </c>
      <c r="H79" s="145">
        <f>H77</f>
        <v>500</v>
      </c>
      <c r="I79" s="145">
        <f t="shared" si="458"/>
        <v>3449.9999999999886</v>
      </c>
      <c r="J79" s="147">
        <v>221.6</v>
      </c>
      <c r="K79" s="66">
        <f t="shared" ref="K79" si="467">J77</f>
        <v>218.6</v>
      </c>
      <c r="L79" s="145">
        <f t="shared" si="460"/>
        <v>3</v>
      </c>
      <c r="M79" s="145">
        <f>M77</f>
        <v>500</v>
      </c>
      <c r="N79" s="144">
        <f t="shared" si="461"/>
        <v>1500</v>
      </c>
      <c r="O79" s="145">
        <f t="shared" si="462"/>
        <v>-1949.9999999999886</v>
      </c>
      <c r="P79" s="147">
        <v>221.6</v>
      </c>
      <c r="Q79" s="66">
        <f t="shared" ref="Q79" si="468">P77</f>
        <v>218.6</v>
      </c>
      <c r="R79" s="144">
        <f t="shared" si="464"/>
        <v>3</v>
      </c>
      <c r="S79" s="145">
        <f>S77</f>
        <v>500</v>
      </c>
      <c r="T79" s="144">
        <f t="shared" si="465"/>
        <v>1500</v>
      </c>
      <c r="U79" s="66">
        <v>1.6E-2</v>
      </c>
      <c r="V79" s="66">
        <v>0.55000000000000004</v>
      </c>
      <c r="W79" s="25"/>
    </row>
    <row r="80" spans="1:23" ht="15.75" x14ac:dyDescent="0.25">
      <c r="A80" s="152">
        <v>65</v>
      </c>
      <c r="B80" s="116" t="s">
        <v>316</v>
      </c>
      <c r="C80" s="154" t="s">
        <v>260</v>
      </c>
      <c r="D80" s="8" t="s">
        <v>236</v>
      </c>
      <c r="E80" s="147">
        <v>417</v>
      </c>
      <c r="F80" s="8">
        <v>413.7</v>
      </c>
      <c r="G80" s="153">
        <f t="shared" si="457"/>
        <v>3.3000000000000114</v>
      </c>
      <c r="H80" s="153">
        <f>H77</f>
        <v>500</v>
      </c>
      <c r="I80" s="153">
        <f t="shared" si="458"/>
        <v>1650.0000000000057</v>
      </c>
      <c r="J80" s="147">
        <v>224</v>
      </c>
      <c r="K80" s="66">
        <v>221.6</v>
      </c>
      <c r="L80" s="153">
        <f t="shared" si="460"/>
        <v>2.4000000000000057</v>
      </c>
      <c r="M80" s="153">
        <f>M77</f>
        <v>500</v>
      </c>
      <c r="N80" s="154">
        <f t="shared" si="461"/>
        <v>1200.0000000000027</v>
      </c>
      <c r="O80" s="153">
        <f t="shared" si="462"/>
        <v>-450.00000000000296</v>
      </c>
      <c r="P80" s="147">
        <v>224.6</v>
      </c>
      <c r="Q80" s="66">
        <v>221.6</v>
      </c>
      <c r="R80" s="154">
        <f t="shared" si="464"/>
        <v>3</v>
      </c>
      <c r="S80" s="153">
        <f>S77</f>
        <v>500</v>
      </c>
      <c r="T80" s="154">
        <f t="shared" si="465"/>
        <v>1500</v>
      </c>
      <c r="U80" s="66">
        <v>1.6E-2</v>
      </c>
      <c r="V80" s="66">
        <v>0.55000000000000004</v>
      </c>
      <c r="W80" s="25"/>
    </row>
    <row r="81" spans="1:23" ht="15.75" x14ac:dyDescent="0.25">
      <c r="A81" s="155">
        <v>66</v>
      </c>
      <c r="B81" s="116" t="s">
        <v>319</v>
      </c>
      <c r="C81" s="142" t="s">
        <v>260</v>
      </c>
      <c r="D81" s="8" t="s">
        <v>236</v>
      </c>
      <c r="E81" s="147">
        <v>420.4</v>
      </c>
      <c r="F81" s="8">
        <v>417</v>
      </c>
      <c r="G81" s="140">
        <f t="shared" ref="G81:G83" si="469">E81-F81</f>
        <v>3.3999999999999773</v>
      </c>
      <c r="H81" s="140">
        <f>H78</f>
        <v>500</v>
      </c>
      <c r="I81" s="140">
        <f t="shared" ref="I81:I83" si="470">G81*H81</f>
        <v>1699.9999999999886</v>
      </c>
      <c r="J81" s="147">
        <v>227</v>
      </c>
      <c r="K81" s="66">
        <v>224</v>
      </c>
      <c r="L81" s="140">
        <f t="shared" ref="L81:L83" si="471">J81-K81</f>
        <v>3</v>
      </c>
      <c r="M81" s="140">
        <f>M78</f>
        <v>500</v>
      </c>
      <c r="N81" s="142">
        <f t="shared" ref="N81:N83" si="472">L81*M81</f>
        <v>1500</v>
      </c>
      <c r="O81" s="140">
        <f t="shared" ref="O81:O83" si="473">N81-I81</f>
        <v>-199.99999999998863</v>
      </c>
      <c r="P81" s="147">
        <v>227.6</v>
      </c>
      <c r="Q81" s="66">
        <v>224.6</v>
      </c>
      <c r="R81" s="142">
        <f t="shared" ref="R81:R83" si="474">P81-Q81</f>
        <v>3</v>
      </c>
      <c r="S81" s="140">
        <f>S78</f>
        <v>500</v>
      </c>
      <c r="T81" s="142">
        <f t="shared" ref="T81:T83" si="475">R81*S81</f>
        <v>1500</v>
      </c>
      <c r="U81" s="66">
        <v>1.6E-2</v>
      </c>
      <c r="V81" s="66">
        <v>0.55000000000000004</v>
      </c>
      <c r="W81" s="25"/>
    </row>
    <row r="82" spans="1:23" ht="15.75" x14ac:dyDescent="0.25">
      <c r="A82" s="170">
        <v>67</v>
      </c>
      <c r="B82" s="116" t="s">
        <v>321</v>
      </c>
      <c r="C82" s="168" t="s">
        <v>260</v>
      </c>
      <c r="D82" s="8" t="s">
        <v>236</v>
      </c>
      <c r="E82" s="147">
        <v>424.3</v>
      </c>
      <c r="F82" s="8">
        <v>417</v>
      </c>
      <c r="G82" s="169">
        <f t="shared" si="469"/>
        <v>7.3000000000000114</v>
      </c>
      <c r="H82" s="169">
        <f>H78</f>
        <v>500</v>
      </c>
      <c r="I82" s="169">
        <f t="shared" si="470"/>
        <v>3650.0000000000055</v>
      </c>
      <c r="J82" s="147">
        <v>230</v>
      </c>
      <c r="K82" s="147">
        <v>227</v>
      </c>
      <c r="L82" s="169">
        <f t="shared" si="471"/>
        <v>3</v>
      </c>
      <c r="M82" s="169">
        <f>M78</f>
        <v>500</v>
      </c>
      <c r="N82" s="168">
        <f t="shared" si="472"/>
        <v>1500</v>
      </c>
      <c r="O82" s="169">
        <f t="shared" si="473"/>
        <v>-2150.0000000000055</v>
      </c>
      <c r="P82" s="147">
        <v>230</v>
      </c>
      <c r="Q82" s="147">
        <v>227.6</v>
      </c>
      <c r="R82" s="168">
        <f t="shared" si="474"/>
        <v>2.4000000000000057</v>
      </c>
      <c r="S82" s="169">
        <f>S78</f>
        <v>500</v>
      </c>
      <c r="T82" s="168">
        <f t="shared" si="475"/>
        <v>1200.0000000000027</v>
      </c>
      <c r="U82" s="66">
        <v>1.6E-2</v>
      </c>
      <c r="V82" s="66">
        <v>0.55000000000000004</v>
      </c>
      <c r="W82" s="25"/>
    </row>
    <row r="83" spans="1:23" ht="15.75" x14ac:dyDescent="0.25">
      <c r="A83" s="175">
        <v>68</v>
      </c>
      <c r="B83" s="116" t="s">
        <v>327</v>
      </c>
      <c r="C83" s="178" t="s">
        <v>260</v>
      </c>
      <c r="D83" s="8" t="s">
        <v>236</v>
      </c>
      <c r="E83" s="147">
        <v>428.3</v>
      </c>
      <c r="F83" s="8">
        <v>424.3</v>
      </c>
      <c r="G83" s="176">
        <f t="shared" si="469"/>
        <v>4</v>
      </c>
      <c r="H83" s="176">
        <f>H78</f>
        <v>500</v>
      </c>
      <c r="I83" s="176">
        <f t="shared" si="470"/>
        <v>2000</v>
      </c>
      <c r="J83" s="147">
        <v>230</v>
      </c>
      <c r="K83" s="147">
        <v>227</v>
      </c>
      <c r="L83" s="176">
        <f t="shared" si="471"/>
        <v>3</v>
      </c>
      <c r="M83" s="176">
        <f>M78</f>
        <v>500</v>
      </c>
      <c r="N83" s="178">
        <f t="shared" si="472"/>
        <v>1500</v>
      </c>
      <c r="O83" s="176">
        <f t="shared" si="473"/>
        <v>-500</v>
      </c>
      <c r="P83" s="147">
        <v>230.5</v>
      </c>
      <c r="Q83" s="147">
        <v>230</v>
      </c>
      <c r="R83" s="178">
        <f t="shared" si="474"/>
        <v>0.5</v>
      </c>
      <c r="S83" s="176">
        <f>S78</f>
        <v>500</v>
      </c>
      <c r="T83" s="178">
        <f t="shared" si="475"/>
        <v>250</v>
      </c>
      <c r="U83" s="66">
        <v>1.7999999999999999E-2</v>
      </c>
      <c r="V83" s="66">
        <v>9.1999999999999998E-2</v>
      </c>
      <c r="W83" s="25"/>
    </row>
    <row r="84" spans="1:23" ht="15.75" x14ac:dyDescent="0.25">
      <c r="A84" s="155">
        <v>69</v>
      </c>
      <c r="B84" s="116" t="s">
        <v>330</v>
      </c>
      <c r="C84" s="158" t="s">
        <v>260</v>
      </c>
      <c r="D84" s="8" t="s">
        <v>236</v>
      </c>
      <c r="E84" s="147">
        <v>433</v>
      </c>
      <c r="F84" s="147">
        <v>428.3</v>
      </c>
      <c r="G84" s="156">
        <f t="shared" ref="G84:G85" si="476">E84-F84</f>
        <v>4.6999999999999886</v>
      </c>
      <c r="H84" s="156">
        <f>H79</f>
        <v>500</v>
      </c>
      <c r="I84" s="156">
        <f t="shared" ref="I84:I85" si="477">G84*H84</f>
        <v>2349.9999999999945</v>
      </c>
      <c r="J84" s="147">
        <v>231.8</v>
      </c>
      <c r="K84" s="147">
        <v>230</v>
      </c>
      <c r="L84" s="156">
        <f t="shared" ref="L84:L85" si="478">J84-K84</f>
        <v>1.8000000000000114</v>
      </c>
      <c r="M84" s="156">
        <f>M79</f>
        <v>500</v>
      </c>
      <c r="N84" s="158">
        <f t="shared" ref="N84:N85" si="479">L84*M84</f>
        <v>900.00000000000568</v>
      </c>
      <c r="O84" s="156">
        <f t="shared" ref="O84:O85" si="480">N84-I84</f>
        <v>-1449.9999999999889</v>
      </c>
      <c r="P84" s="147">
        <v>231.8</v>
      </c>
      <c r="Q84" s="147">
        <v>230.5</v>
      </c>
      <c r="R84" s="158">
        <f t="shared" ref="R84:R85" si="481">P84-Q84</f>
        <v>1.3000000000000114</v>
      </c>
      <c r="S84" s="156">
        <f>S79</f>
        <v>500</v>
      </c>
      <c r="T84" s="158">
        <f t="shared" ref="T84:T85" si="482">R84*S84</f>
        <v>650.00000000000568</v>
      </c>
      <c r="U84" s="66">
        <v>1.2E-2</v>
      </c>
      <c r="V84" s="66">
        <v>0.81</v>
      </c>
      <c r="W84" s="25"/>
    </row>
    <row r="85" spans="1:23" ht="15.75" x14ac:dyDescent="0.25">
      <c r="A85" s="183">
        <v>70</v>
      </c>
      <c r="B85" s="116" t="s">
        <v>331</v>
      </c>
      <c r="C85" s="186" t="s">
        <v>260</v>
      </c>
      <c r="D85" s="8" t="s">
        <v>236</v>
      </c>
      <c r="E85" s="147">
        <v>439.9</v>
      </c>
      <c r="F85" s="147">
        <v>433</v>
      </c>
      <c r="G85" s="184">
        <f t="shared" si="476"/>
        <v>6.8999999999999773</v>
      </c>
      <c r="H85" s="184">
        <f>H79</f>
        <v>500</v>
      </c>
      <c r="I85" s="184">
        <f t="shared" si="477"/>
        <v>3449.9999999999886</v>
      </c>
      <c r="J85" s="147">
        <v>232.9</v>
      </c>
      <c r="K85" s="147">
        <v>231.8</v>
      </c>
      <c r="L85" s="184">
        <f t="shared" si="478"/>
        <v>1.0999999999999943</v>
      </c>
      <c r="M85" s="184">
        <f>M79</f>
        <v>500</v>
      </c>
      <c r="N85" s="186">
        <f t="shared" si="479"/>
        <v>549.99999999999716</v>
      </c>
      <c r="O85" s="184">
        <f t="shared" si="480"/>
        <v>-2899.9999999999914</v>
      </c>
      <c r="P85" s="147">
        <v>232.9</v>
      </c>
      <c r="Q85" s="147">
        <v>231.8</v>
      </c>
      <c r="R85" s="186">
        <f t="shared" si="481"/>
        <v>1.0999999999999943</v>
      </c>
      <c r="S85" s="184">
        <f>S79</f>
        <v>500</v>
      </c>
      <c r="T85" s="186">
        <f t="shared" si="482"/>
        <v>549.99999999999716</v>
      </c>
      <c r="U85" s="66">
        <v>1.0999999999999999E-2</v>
      </c>
      <c r="V85" s="66">
        <v>0.81</v>
      </c>
      <c r="W85" s="25"/>
    </row>
    <row r="86" spans="1:23" ht="15.75" x14ac:dyDescent="0.25">
      <c r="A86" s="182">
        <v>71</v>
      </c>
      <c r="B86" s="116" t="s">
        <v>332</v>
      </c>
      <c r="C86" s="180" t="s">
        <v>260</v>
      </c>
      <c r="D86" s="8" t="s">
        <v>236</v>
      </c>
      <c r="E86" s="147">
        <v>444.9</v>
      </c>
      <c r="F86" s="147">
        <v>439.9</v>
      </c>
      <c r="G86" s="181">
        <f t="shared" ref="G86" si="483">E86-F86</f>
        <v>5</v>
      </c>
      <c r="H86" s="181">
        <f>H80</f>
        <v>500</v>
      </c>
      <c r="I86" s="181">
        <f t="shared" ref="I86" si="484">G86*H86</f>
        <v>2500</v>
      </c>
      <c r="J86" s="147">
        <v>233.3</v>
      </c>
      <c r="K86" s="147">
        <v>232.9</v>
      </c>
      <c r="L86" s="181">
        <f t="shared" ref="L86" si="485">J86-K86</f>
        <v>0.40000000000000568</v>
      </c>
      <c r="M86" s="181">
        <f>M80</f>
        <v>500</v>
      </c>
      <c r="N86" s="180">
        <f t="shared" ref="N86" si="486">L86*M86</f>
        <v>200.00000000000284</v>
      </c>
      <c r="O86" s="181">
        <f t="shared" ref="O86" si="487">N86-I86</f>
        <v>-2299.9999999999973</v>
      </c>
      <c r="P86" s="147">
        <v>233.3</v>
      </c>
      <c r="Q86" s="147">
        <v>232.9</v>
      </c>
      <c r="R86" s="180">
        <f t="shared" ref="R86" si="488">P86-Q86</f>
        <v>0.40000000000000568</v>
      </c>
      <c r="S86" s="181">
        <f>S80</f>
        <v>500</v>
      </c>
      <c r="T86" s="180">
        <f t="shared" ref="T86" si="489">R86*S86</f>
        <v>200.00000000000284</v>
      </c>
      <c r="U86" s="66">
        <v>1.7999999999999999E-2</v>
      </c>
      <c r="V86" s="66">
        <v>0.83</v>
      </c>
      <c r="W86" s="25"/>
    </row>
    <row r="87" spans="1:23" ht="15.75" x14ac:dyDescent="0.25">
      <c r="A87" s="164"/>
      <c r="B87" s="22" t="s">
        <v>121</v>
      </c>
      <c r="C87" s="161"/>
      <c r="D87" s="161"/>
      <c r="E87" s="164"/>
      <c r="F87" s="162"/>
      <c r="G87" s="161"/>
      <c r="H87" s="162"/>
      <c r="I87" s="164">
        <f>SUM(I76:I84)</f>
        <v>19199.999999999956</v>
      </c>
      <c r="J87" s="164"/>
      <c r="K87" s="162"/>
      <c r="L87" s="164"/>
      <c r="M87" s="162"/>
      <c r="N87" s="164">
        <f>SUM(N76:N84)</f>
        <v>11600.000000000009</v>
      </c>
      <c r="O87" s="164">
        <f>SUM(O76:O84)</f>
        <v>-7599.9999999999527</v>
      </c>
      <c r="P87" s="164"/>
      <c r="Q87" s="162"/>
      <c r="R87" s="164"/>
      <c r="S87" s="162"/>
      <c r="T87" s="164">
        <f>SUM(T76:T84)</f>
        <v>10100.000000000009</v>
      </c>
      <c r="U87" s="24"/>
      <c r="V87" s="24"/>
      <c r="W87" s="25"/>
    </row>
    <row r="88" spans="1:23" ht="15.75" x14ac:dyDescent="0.25">
      <c r="A88" s="37"/>
      <c r="B88" s="78"/>
      <c r="C88" s="24"/>
      <c r="E88" s="25"/>
      <c r="G88" s="38"/>
      <c r="H88" s="38"/>
      <c r="I88" s="38"/>
      <c r="J88" s="25"/>
      <c r="K88" s="25"/>
      <c r="L88" s="38"/>
      <c r="M88" s="38"/>
      <c r="N88" s="24"/>
      <c r="O88" s="38"/>
      <c r="P88" s="25"/>
      <c r="Q88" s="25"/>
      <c r="R88" s="24"/>
      <c r="S88" s="38"/>
      <c r="T88" s="24"/>
      <c r="U88" s="25"/>
      <c r="V88" s="25"/>
      <c r="W88" s="25"/>
    </row>
    <row r="89" spans="1:23" ht="15.75" x14ac:dyDescent="0.25">
      <c r="A89" s="37"/>
      <c r="B89" s="78"/>
      <c r="C89" s="24"/>
      <c r="E89" s="25"/>
      <c r="G89" s="38"/>
      <c r="H89" s="38"/>
      <c r="I89" s="38"/>
      <c r="J89" s="25"/>
      <c r="K89" s="25"/>
      <c r="L89" s="38" t="s">
        <v>308</v>
      </c>
      <c r="M89" s="38"/>
      <c r="N89" s="24"/>
      <c r="O89" s="38"/>
      <c r="P89" s="25"/>
      <c r="Q89" s="25"/>
      <c r="R89" s="24"/>
      <c r="S89" s="38"/>
      <c r="T89" s="24"/>
      <c r="U89" s="25"/>
      <c r="V89" s="25"/>
      <c r="W89" s="25"/>
    </row>
    <row r="90" spans="1:23" ht="15.75" x14ac:dyDescent="0.25">
      <c r="A90" s="37"/>
      <c r="B90" s="78"/>
      <c r="C90" s="24"/>
      <c r="E90" s="25"/>
      <c r="G90" s="38"/>
      <c r="H90" s="38"/>
      <c r="I90" s="38"/>
      <c r="J90" s="25"/>
      <c r="K90" s="25"/>
      <c r="L90" s="38"/>
      <c r="M90" s="38"/>
      <c r="N90" s="24"/>
      <c r="O90" s="38"/>
      <c r="P90" s="25"/>
      <c r="Q90" s="25"/>
      <c r="R90" s="24"/>
      <c r="S90" s="38"/>
      <c r="T90" s="24"/>
      <c r="U90" s="25"/>
      <c r="V90" s="25"/>
      <c r="W90" s="25"/>
    </row>
    <row r="91" spans="1:23" ht="15.75" x14ac:dyDescent="0.25">
      <c r="A91" s="37"/>
      <c r="B91" s="78"/>
      <c r="C91" s="24"/>
      <c r="E91" s="25"/>
      <c r="G91" s="38"/>
      <c r="H91" s="38"/>
      <c r="I91" s="38"/>
      <c r="J91" s="25"/>
      <c r="K91" s="25"/>
      <c r="L91" s="38"/>
      <c r="M91" s="38"/>
      <c r="N91" s="24"/>
      <c r="O91" s="38"/>
      <c r="P91" s="25"/>
      <c r="Q91" s="25"/>
      <c r="R91" s="24"/>
      <c r="S91" s="38"/>
      <c r="T91" s="24"/>
      <c r="U91" s="25"/>
      <c r="V91" s="25"/>
      <c r="W91" s="25"/>
    </row>
    <row r="92" spans="1:23" ht="15.75" x14ac:dyDescent="0.25">
      <c r="A92" s="37"/>
      <c r="B92" s="78"/>
      <c r="C92" s="24"/>
      <c r="E92" s="25"/>
      <c r="G92" s="38"/>
      <c r="H92" s="38"/>
      <c r="I92" s="38"/>
      <c r="J92" s="25"/>
      <c r="K92" s="25"/>
      <c r="L92" s="38"/>
      <c r="M92" s="38"/>
      <c r="N92" s="24"/>
      <c r="O92" s="38"/>
      <c r="P92" s="25"/>
      <c r="Q92" s="25"/>
      <c r="R92" s="24"/>
      <c r="S92" s="38"/>
      <c r="T92" s="24"/>
      <c r="U92" s="25"/>
      <c r="V92" s="25"/>
      <c r="W92" s="25"/>
    </row>
    <row r="93" spans="1:23" ht="15.75" x14ac:dyDescent="0.25">
      <c r="A93" s="37"/>
      <c r="B93" s="78"/>
      <c r="C93" s="24"/>
      <c r="E93" s="25"/>
      <c r="G93" s="38"/>
      <c r="H93" s="38"/>
      <c r="I93" s="38"/>
      <c r="J93" s="25"/>
      <c r="K93" s="25"/>
      <c r="L93" s="38"/>
      <c r="M93" s="38"/>
      <c r="N93" s="24"/>
      <c r="O93" s="38"/>
      <c r="P93" s="25"/>
      <c r="Q93" s="25"/>
      <c r="R93" s="24"/>
      <c r="S93" s="38"/>
      <c r="T93" s="24"/>
      <c r="U93" s="25"/>
      <c r="V93" s="25"/>
      <c r="W93" s="25"/>
    </row>
    <row r="94" spans="1:23" ht="15.75" x14ac:dyDescent="0.25">
      <c r="A94" s="37"/>
      <c r="B94" s="78"/>
      <c r="C94" s="24"/>
      <c r="E94" s="25"/>
      <c r="G94" s="38"/>
      <c r="H94" s="38"/>
      <c r="I94" s="38"/>
      <c r="J94" s="25"/>
      <c r="K94" s="25"/>
      <c r="L94" s="38"/>
      <c r="M94" s="38"/>
      <c r="N94" s="24"/>
      <c r="O94" s="38"/>
      <c r="P94" s="25"/>
      <c r="Q94" s="25"/>
      <c r="R94" s="24"/>
      <c r="S94" s="38"/>
      <c r="T94" s="24"/>
      <c r="U94" s="25"/>
      <c r="V94" s="25"/>
      <c r="W94" s="25"/>
    </row>
    <row r="95" spans="1:23" ht="15.75" x14ac:dyDescent="0.25">
      <c r="A95" s="37"/>
      <c r="B95" s="78"/>
      <c r="C95" s="25"/>
      <c r="D95" s="25"/>
      <c r="E95" s="25"/>
      <c r="F95" s="25"/>
      <c r="G95" s="25"/>
      <c r="H95" s="25"/>
      <c r="I95" s="38"/>
      <c r="J95" s="25"/>
      <c r="K95" s="25"/>
      <c r="L95" s="25"/>
      <c r="M95" s="25"/>
      <c r="N95" s="38"/>
      <c r="O95" s="38"/>
      <c r="P95" s="25"/>
      <c r="Q95" s="25"/>
      <c r="R95" s="25"/>
      <c r="S95" s="25"/>
      <c r="T95" s="38"/>
      <c r="U95" s="25"/>
      <c r="V95" s="25"/>
      <c r="W95" s="25"/>
    </row>
    <row r="96" spans="1:23" ht="15.75" x14ac:dyDescent="0.25">
      <c r="A96" s="31">
        <v>1</v>
      </c>
      <c r="B96" s="31" t="s">
        <v>23</v>
      </c>
      <c r="C96" s="25"/>
      <c r="D96" s="25"/>
      <c r="E96" s="25"/>
      <c r="F96" s="25"/>
      <c r="G96" s="25"/>
      <c r="H96" s="25"/>
      <c r="I96" s="25"/>
      <c r="J96" s="25"/>
      <c r="K96" s="25"/>
      <c r="L96" s="25">
        <v>947.9</v>
      </c>
      <c r="M96" s="25" t="s">
        <v>269</v>
      </c>
      <c r="N96" s="25"/>
      <c r="O96" s="25"/>
      <c r="P96" s="37"/>
      <c r="Q96" s="38"/>
      <c r="R96" s="24"/>
      <c r="S96" s="38"/>
      <c r="T96" s="24"/>
      <c r="U96" s="25"/>
      <c r="V96" s="25"/>
      <c r="W96" s="25"/>
    </row>
    <row r="97" spans="1:34" ht="15.75" x14ac:dyDescent="0.25">
      <c r="A97" s="31">
        <v>2</v>
      </c>
      <c r="B97" s="31" t="s">
        <v>24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 t="s">
        <v>270</v>
      </c>
      <c r="N97" s="25"/>
      <c r="O97" s="25"/>
      <c r="P97" s="37"/>
      <c r="Q97" s="38"/>
      <c r="R97" s="24"/>
      <c r="S97" s="38"/>
      <c r="T97" s="24"/>
      <c r="U97" s="25"/>
      <c r="V97" s="25"/>
      <c r="W97" s="25"/>
    </row>
    <row r="98" spans="1:34" ht="15.75" x14ac:dyDescent="0.25">
      <c r="A98" s="31">
        <v>3</v>
      </c>
      <c r="B98" s="31" t="s">
        <v>25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8"/>
      <c r="AB98" s="67"/>
      <c r="AC98" s="67"/>
      <c r="AD98" s="67"/>
      <c r="AE98" s="67"/>
      <c r="AF98" s="67"/>
      <c r="AG98" s="67"/>
      <c r="AH98" s="69"/>
    </row>
    <row r="99" spans="1:34" ht="15.75" x14ac:dyDescent="0.25">
      <c r="O99" s="70"/>
      <c r="P99" s="71"/>
      <c r="Q99" s="72"/>
      <c r="R99" s="70"/>
      <c r="S99" s="73"/>
      <c r="T99" s="74"/>
      <c r="U99" s="72"/>
      <c r="V99" s="72"/>
      <c r="W99" s="72"/>
      <c r="X99" s="75"/>
      <c r="Y99" s="75"/>
      <c r="Z99" s="75"/>
      <c r="AA99" s="75"/>
      <c r="AB99" s="75"/>
      <c r="AC99" s="75"/>
      <c r="AD99" s="76"/>
      <c r="AE99" s="76"/>
      <c r="AF99" s="76"/>
      <c r="AG99" s="77"/>
      <c r="AH99" s="60"/>
    </row>
    <row r="100" spans="1:34" ht="15.75" x14ac:dyDescent="0.25">
      <c r="O100" s="70"/>
      <c r="P100" s="71"/>
      <c r="Q100" s="72"/>
      <c r="R100" s="70"/>
      <c r="S100" s="73"/>
      <c r="T100" s="74"/>
      <c r="V100" s="72"/>
      <c r="W100" s="72"/>
      <c r="X100" s="75"/>
      <c r="Y100" s="75"/>
      <c r="Z100" s="75"/>
      <c r="AA100" s="75"/>
      <c r="AB100" s="75"/>
      <c r="AC100" s="75"/>
      <c r="AD100" s="76"/>
      <c r="AE100" s="76"/>
      <c r="AF100" s="76"/>
      <c r="AG100" s="77"/>
      <c r="AH100" s="60"/>
    </row>
    <row r="101" spans="1:34" ht="15.75" x14ac:dyDescent="0.25">
      <c r="O101" s="70"/>
      <c r="P101" s="71"/>
      <c r="Q101" s="72"/>
      <c r="R101" s="70"/>
      <c r="S101" s="73"/>
      <c r="T101" s="74"/>
      <c r="U101" s="72"/>
      <c r="V101" s="72"/>
      <c r="W101" s="72"/>
      <c r="X101" s="75"/>
      <c r="Y101" s="75"/>
      <c r="Z101" s="75"/>
      <c r="AA101" s="75"/>
      <c r="AB101" s="75"/>
      <c r="AC101" s="75"/>
      <c r="AD101" s="76"/>
      <c r="AE101" s="76"/>
      <c r="AF101" s="76"/>
      <c r="AG101" s="77"/>
      <c r="AH101" s="60"/>
    </row>
    <row r="102" spans="1:34" ht="15.75" x14ac:dyDescent="0.25">
      <c r="O102" s="70"/>
      <c r="P102" s="71"/>
      <c r="Q102" s="72"/>
      <c r="R102" s="70"/>
      <c r="S102" s="73"/>
      <c r="T102" s="74"/>
      <c r="U102" s="72"/>
      <c r="V102" s="72"/>
      <c r="W102" s="72"/>
      <c r="X102" s="75"/>
      <c r="Y102" s="75"/>
      <c r="Z102" s="75"/>
      <c r="AA102" s="75"/>
      <c r="AB102" s="75"/>
      <c r="AC102" s="75"/>
      <c r="AD102" s="76"/>
      <c r="AE102" s="76"/>
      <c r="AF102" s="76"/>
      <c r="AG102" s="77"/>
      <c r="AH102" s="60"/>
    </row>
    <row r="103" spans="1:34" ht="15.75" x14ac:dyDescent="0.25">
      <c r="O103" s="70"/>
      <c r="P103" s="71"/>
      <c r="Q103" s="72"/>
      <c r="R103" s="70"/>
      <c r="S103" s="73"/>
      <c r="T103" s="74"/>
      <c r="U103" s="72"/>
      <c r="V103" s="72"/>
      <c r="W103" s="72"/>
      <c r="X103" s="75"/>
      <c r="Y103" s="75"/>
      <c r="Z103" s="75"/>
      <c r="AA103" s="75"/>
      <c r="AB103" s="75"/>
      <c r="AC103" s="75"/>
      <c r="AD103" s="76"/>
      <c r="AE103" s="76"/>
      <c r="AF103" s="76"/>
      <c r="AG103" s="77"/>
      <c r="AH103" s="60"/>
    </row>
  </sheetData>
  <mergeCells count="26">
    <mergeCell ref="A5:A6"/>
    <mergeCell ref="B5:B6"/>
    <mergeCell ref="C5:C6"/>
    <mergeCell ref="D5:D6"/>
    <mergeCell ref="E5:I5"/>
    <mergeCell ref="M4:N4"/>
    <mergeCell ref="O4:U4"/>
    <mergeCell ref="A1:V1"/>
    <mergeCell ref="A2:V2"/>
    <mergeCell ref="B3:C3"/>
    <mergeCell ref="E3:I3"/>
    <mergeCell ref="J3:L3"/>
    <mergeCell ref="M3:N3"/>
    <mergeCell ref="O3:U3"/>
    <mergeCell ref="B4:C4"/>
    <mergeCell ref="E4:I4"/>
    <mergeCell ref="J4:L4"/>
    <mergeCell ref="D24:D35"/>
    <mergeCell ref="C24:C35"/>
    <mergeCell ref="D10:D21"/>
    <mergeCell ref="C10:C21"/>
    <mergeCell ref="V5:V6"/>
    <mergeCell ref="P5:T5"/>
    <mergeCell ref="J5:N5"/>
    <mergeCell ref="O5:O6"/>
    <mergeCell ref="U5:U6"/>
  </mergeCells>
  <printOptions horizontalCentered="1"/>
  <pageMargins left="0" right="0" top="0.75" bottom="0.75" header="0.3" footer="0.3"/>
  <pageSetup paperSize="9"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74"/>
  <sheetViews>
    <sheetView view="pageBreakPreview" topLeftCell="A52" zoomScale="85" zoomScaleNormal="85" zoomScaleSheetLayoutView="85" workbookViewId="0">
      <selection activeCell="A67" sqref="A67"/>
    </sheetView>
  </sheetViews>
  <sheetFormatPr defaultRowHeight="15" x14ac:dyDescent="0.25"/>
  <cols>
    <col min="1" max="1" width="7.5703125" customWidth="1"/>
    <col min="2" max="2" width="13" customWidth="1"/>
    <col min="3" max="3" width="10.710937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128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127</v>
      </c>
      <c r="C3" s="207"/>
      <c r="D3" s="12" t="s">
        <v>6</v>
      </c>
      <c r="E3" s="201" t="s">
        <v>125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131</v>
      </c>
      <c r="W3" s="25"/>
    </row>
    <row r="4" spans="1:23" ht="15.75" x14ac:dyDescent="0.25">
      <c r="A4" s="12" t="s">
        <v>0</v>
      </c>
      <c r="B4" s="216" t="s">
        <v>126</v>
      </c>
      <c r="C4" s="216"/>
      <c r="D4" s="12" t="s">
        <v>9</v>
      </c>
      <c r="E4" s="207">
        <v>9448994815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>
        <v>43622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123</v>
      </c>
      <c r="D7" s="19" t="s">
        <v>124</v>
      </c>
      <c r="E7" s="17">
        <v>23.4</v>
      </c>
      <c r="F7" s="17">
        <v>3.7</v>
      </c>
      <c r="G7" s="19">
        <f t="shared" ref="G7" si="0">E7-F7</f>
        <v>19.7</v>
      </c>
      <c r="H7" s="17">
        <v>1</v>
      </c>
      <c r="I7" s="19">
        <f t="shared" ref="I7" si="1">G7*H7</f>
        <v>19.7</v>
      </c>
      <c r="J7" s="17">
        <v>246.4</v>
      </c>
      <c r="K7" s="17">
        <v>0.2</v>
      </c>
      <c r="L7" s="19">
        <f t="shared" ref="L7" si="2">J7-K7</f>
        <v>246.20000000000002</v>
      </c>
      <c r="M7" s="17">
        <v>1</v>
      </c>
      <c r="N7" s="19">
        <f t="shared" ref="N7" si="3">L7*M7</f>
        <v>246.20000000000002</v>
      </c>
      <c r="O7" s="17">
        <f t="shared" ref="O7:O12" si="4">N7-I7</f>
        <v>226.50000000000003</v>
      </c>
      <c r="P7" s="17">
        <v>669.9</v>
      </c>
      <c r="Q7" s="17">
        <v>392.8</v>
      </c>
      <c r="R7" s="19">
        <f t="shared" ref="R7" si="5">P7-Q7</f>
        <v>277.09999999999997</v>
      </c>
      <c r="S7" s="17">
        <v>1</v>
      </c>
      <c r="T7" s="19">
        <f t="shared" ref="T7" si="6">R7*S7</f>
        <v>277.09999999999997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123</v>
      </c>
      <c r="D8" s="19" t="s">
        <v>124</v>
      </c>
      <c r="E8" s="17">
        <v>57</v>
      </c>
      <c r="F8" s="17">
        <f t="shared" ref="F8:F13" si="7">E7</f>
        <v>23.4</v>
      </c>
      <c r="G8" s="19">
        <f t="shared" ref="G8" si="8">E8-F8</f>
        <v>33.6</v>
      </c>
      <c r="H8" s="17">
        <v>1</v>
      </c>
      <c r="I8" s="19">
        <f t="shared" ref="I8" si="9">G8*H8</f>
        <v>33.6</v>
      </c>
      <c r="J8" s="17">
        <v>514.4</v>
      </c>
      <c r="K8" s="17">
        <f t="shared" ref="K8:K13" si="10">J7</f>
        <v>246.4</v>
      </c>
      <c r="L8" s="19">
        <f t="shared" ref="L8" si="11">J8-K8</f>
        <v>268</v>
      </c>
      <c r="M8" s="17">
        <v>1</v>
      </c>
      <c r="N8" s="19">
        <f t="shared" ref="N8" si="12">L8*M8</f>
        <v>268</v>
      </c>
      <c r="O8" s="17">
        <f t="shared" si="4"/>
        <v>234.4</v>
      </c>
      <c r="P8" s="17">
        <v>951.4</v>
      </c>
      <c r="Q8" s="17">
        <f t="shared" ref="Q8:Q13" si="13">P7</f>
        <v>669.9</v>
      </c>
      <c r="R8" s="19">
        <f t="shared" ref="R8" si="14">P8-Q8</f>
        <v>281.5</v>
      </c>
      <c r="S8" s="17">
        <v>1</v>
      </c>
      <c r="T8" s="19">
        <f t="shared" ref="T8" si="15">R8*S8</f>
        <v>281.5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123</v>
      </c>
      <c r="D9" s="19" t="s">
        <v>124</v>
      </c>
      <c r="E9" s="17">
        <v>75.7</v>
      </c>
      <c r="F9" s="17">
        <f t="shared" si="7"/>
        <v>57</v>
      </c>
      <c r="G9" s="19">
        <f t="shared" ref="G9" si="16">E9-F9</f>
        <v>18.700000000000003</v>
      </c>
      <c r="H9" s="17">
        <v>1</v>
      </c>
      <c r="I9" s="19">
        <f t="shared" ref="I9" si="17">G9*H9</f>
        <v>18.700000000000003</v>
      </c>
      <c r="J9" s="17">
        <v>735</v>
      </c>
      <c r="K9" s="17">
        <f t="shared" si="10"/>
        <v>514.4</v>
      </c>
      <c r="L9" s="19">
        <f t="shared" ref="L9" si="18">J9-K9</f>
        <v>220.60000000000002</v>
      </c>
      <c r="M9" s="17">
        <v>1</v>
      </c>
      <c r="N9" s="19">
        <f t="shared" ref="N9" si="19">L9*M9</f>
        <v>220.60000000000002</v>
      </c>
      <c r="O9" s="17">
        <f t="shared" si="4"/>
        <v>201.90000000000003</v>
      </c>
      <c r="P9" s="17">
        <v>1188</v>
      </c>
      <c r="Q9" s="17">
        <f t="shared" si="13"/>
        <v>951.4</v>
      </c>
      <c r="R9" s="19">
        <f t="shared" ref="R9" si="20">P9-Q9</f>
        <v>236.60000000000002</v>
      </c>
      <c r="S9" s="17">
        <v>1</v>
      </c>
      <c r="T9" s="19">
        <f t="shared" ref="T9" si="21">R9*S9</f>
        <v>236.60000000000002</v>
      </c>
      <c r="U9" s="17">
        <v>0.23</v>
      </c>
      <c r="V9" s="17">
        <v>0.99</v>
      </c>
      <c r="W9" s="25"/>
    </row>
    <row r="10" spans="1:23" ht="15.75" x14ac:dyDescent="0.25">
      <c r="A10" s="12">
        <v>4</v>
      </c>
      <c r="B10" s="22" t="s">
        <v>244</v>
      </c>
      <c r="C10" s="19" t="s">
        <v>123</v>
      </c>
      <c r="D10" s="19" t="s">
        <v>124</v>
      </c>
      <c r="E10" s="17">
        <v>103.8</v>
      </c>
      <c r="F10" s="17">
        <f t="shared" si="7"/>
        <v>75.7</v>
      </c>
      <c r="G10" s="19">
        <f t="shared" ref="G10" si="22">E10-F10</f>
        <v>28.099999999999994</v>
      </c>
      <c r="H10" s="17">
        <f t="shared" ref="H10:H15" si="23">H9</f>
        <v>1</v>
      </c>
      <c r="I10" s="19">
        <f t="shared" ref="I10" si="24">G10*H10</f>
        <v>28.099999999999994</v>
      </c>
      <c r="J10" s="17">
        <f>J9+235</f>
        <v>970</v>
      </c>
      <c r="K10" s="17">
        <f t="shared" si="10"/>
        <v>735</v>
      </c>
      <c r="L10" s="19">
        <f t="shared" ref="L10" si="25">J10-K10</f>
        <v>235</v>
      </c>
      <c r="M10" s="17">
        <f t="shared" ref="M10:M15" si="26">M9</f>
        <v>1</v>
      </c>
      <c r="N10" s="19">
        <f t="shared" ref="N10" si="27">L10*M10</f>
        <v>235</v>
      </c>
      <c r="O10" s="17">
        <f t="shared" si="4"/>
        <v>206.9</v>
      </c>
      <c r="P10" s="17">
        <v>1453.8</v>
      </c>
      <c r="Q10" s="17">
        <f t="shared" si="13"/>
        <v>1188</v>
      </c>
      <c r="R10" s="19">
        <f t="shared" ref="R10" si="28">P10-Q10</f>
        <v>265.79999999999995</v>
      </c>
      <c r="S10" s="17">
        <f t="shared" ref="S10:S15" si="29">S9</f>
        <v>1</v>
      </c>
      <c r="T10" s="19">
        <f t="shared" ref="T10" si="30">R10*S10</f>
        <v>265.79999999999995</v>
      </c>
      <c r="U10" s="17">
        <v>0.19</v>
      </c>
      <c r="V10" s="17"/>
      <c r="W10" s="25"/>
    </row>
    <row r="11" spans="1:23" ht="15.75" x14ac:dyDescent="0.25">
      <c r="A11" s="12">
        <v>5</v>
      </c>
      <c r="B11" s="22" t="s">
        <v>245</v>
      </c>
      <c r="C11" s="19" t="s">
        <v>123</v>
      </c>
      <c r="D11" s="19" t="s">
        <v>124</v>
      </c>
      <c r="E11" s="17">
        <v>148.5</v>
      </c>
      <c r="F11" s="17">
        <f t="shared" si="7"/>
        <v>103.8</v>
      </c>
      <c r="G11" s="19">
        <f t="shared" ref="G11" si="31">E11-F11</f>
        <v>44.7</v>
      </c>
      <c r="H11" s="17">
        <f t="shared" si="23"/>
        <v>1</v>
      </c>
      <c r="I11" s="19">
        <f t="shared" ref="I11" si="32">G11*H11</f>
        <v>44.7</v>
      </c>
      <c r="J11" s="17">
        <v>1303.5999999999999</v>
      </c>
      <c r="K11" s="17">
        <f t="shared" si="10"/>
        <v>970</v>
      </c>
      <c r="L11" s="19">
        <f t="shared" ref="L11" si="33">J11-K11</f>
        <v>333.59999999999991</v>
      </c>
      <c r="M11" s="17">
        <f t="shared" si="26"/>
        <v>1</v>
      </c>
      <c r="N11" s="19">
        <f t="shared" ref="N11" si="34">L11*M11</f>
        <v>333.59999999999991</v>
      </c>
      <c r="O11" s="17">
        <f t="shared" si="4"/>
        <v>288.89999999999992</v>
      </c>
      <c r="P11" s="17">
        <v>1833.2</v>
      </c>
      <c r="Q11" s="17">
        <f t="shared" si="13"/>
        <v>1453.8</v>
      </c>
      <c r="R11" s="19">
        <f t="shared" ref="R11" si="35">P11-Q11</f>
        <v>379.40000000000009</v>
      </c>
      <c r="S11" s="17">
        <f t="shared" si="29"/>
        <v>1</v>
      </c>
      <c r="T11" s="19">
        <f t="shared" ref="T11" si="36">R11*S11</f>
        <v>379.40000000000009</v>
      </c>
      <c r="U11" s="17">
        <v>0.18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123</v>
      </c>
      <c r="D12" s="19" t="s">
        <v>124</v>
      </c>
      <c r="E12" s="12">
        <v>225</v>
      </c>
      <c r="F12" s="17">
        <f t="shared" si="7"/>
        <v>148.5</v>
      </c>
      <c r="G12" s="19">
        <f t="shared" ref="G12" si="37">E12-F12</f>
        <v>76.5</v>
      </c>
      <c r="H12" s="17">
        <f t="shared" si="23"/>
        <v>1</v>
      </c>
      <c r="I12" s="19">
        <f t="shared" ref="I12" si="38">G12*H12</f>
        <v>76.5</v>
      </c>
      <c r="J12" s="12">
        <v>1610</v>
      </c>
      <c r="K12" s="17">
        <f t="shared" si="10"/>
        <v>1303.5999999999999</v>
      </c>
      <c r="L12" s="19">
        <f t="shared" ref="L12" si="39">J12-K12</f>
        <v>306.40000000000009</v>
      </c>
      <c r="M12" s="17">
        <f t="shared" si="26"/>
        <v>1</v>
      </c>
      <c r="N12" s="19">
        <f t="shared" ref="N12" si="40">L12*M12</f>
        <v>306.40000000000009</v>
      </c>
      <c r="O12" s="17">
        <f t="shared" si="4"/>
        <v>229.90000000000009</v>
      </c>
      <c r="P12" s="17">
        <v>2157.1</v>
      </c>
      <c r="Q12" s="17">
        <f t="shared" si="13"/>
        <v>1833.2</v>
      </c>
      <c r="R12" s="19">
        <f t="shared" ref="R12" si="41">P12-Q12</f>
        <v>323.89999999999986</v>
      </c>
      <c r="S12" s="17">
        <f t="shared" si="29"/>
        <v>1</v>
      </c>
      <c r="T12" s="19">
        <f t="shared" ref="T12" si="42">R12*S12</f>
        <v>323.89999999999986</v>
      </c>
      <c r="U12" s="19">
        <v>0.24</v>
      </c>
      <c r="V12" s="19">
        <v>0.94</v>
      </c>
      <c r="W12" s="25"/>
    </row>
    <row r="13" spans="1:23" ht="15.75" x14ac:dyDescent="0.25">
      <c r="A13" s="12">
        <v>7</v>
      </c>
      <c r="B13" s="22" t="s">
        <v>252</v>
      </c>
      <c r="C13" s="19" t="s">
        <v>123</v>
      </c>
      <c r="D13" s="19" t="s">
        <v>124</v>
      </c>
      <c r="E13" s="12">
        <v>264.89999999999998</v>
      </c>
      <c r="F13" s="17">
        <f t="shared" si="7"/>
        <v>225</v>
      </c>
      <c r="G13" s="19">
        <f t="shared" ref="G13" si="43">E13-F13</f>
        <v>39.899999999999977</v>
      </c>
      <c r="H13" s="17">
        <f t="shared" si="23"/>
        <v>1</v>
      </c>
      <c r="I13" s="19">
        <f t="shared" ref="I13" si="44">G13*H13</f>
        <v>39.899999999999977</v>
      </c>
      <c r="J13" s="12">
        <v>1882.3</v>
      </c>
      <c r="K13" s="17">
        <f t="shared" si="10"/>
        <v>1610</v>
      </c>
      <c r="L13" s="19">
        <f t="shared" ref="L13" si="45">J13-K13</f>
        <v>272.29999999999995</v>
      </c>
      <c r="M13" s="17">
        <f t="shared" si="26"/>
        <v>1</v>
      </c>
      <c r="N13" s="19">
        <f t="shared" ref="N13" si="46">L13*M13</f>
        <v>272.29999999999995</v>
      </c>
      <c r="O13" s="17">
        <f t="shared" ref="O13" si="47">N13-I13</f>
        <v>232.39999999999998</v>
      </c>
      <c r="P13" s="12">
        <v>2450</v>
      </c>
      <c r="Q13" s="17">
        <f t="shared" si="13"/>
        <v>2157.1</v>
      </c>
      <c r="R13" s="19">
        <f t="shared" ref="R13" si="48">P13-Q13</f>
        <v>292.90000000000009</v>
      </c>
      <c r="S13" s="17">
        <f t="shared" si="29"/>
        <v>1</v>
      </c>
      <c r="T13" s="19">
        <f t="shared" ref="T13" si="49">R13*S13</f>
        <v>292.90000000000009</v>
      </c>
      <c r="U13" s="19"/>
      <c r="V13" s="19"/>
      <c r="W13" s="25"/>
    </row>
    <row r="14" spans="1:23" ht="15.75" x14ac:dyDescent="0.25">
      <c r="A14" s="12">
        <v>8</v>
      </c>
      <c r="B14" s="22" t="s">
        <v>253</v>
      </c>
      <c r="C14" s="19" t="s">
        <v>123</v>
      </c>
      <c r="D14" s="19" t="s">
        <v>124</v>
      </c>
      <c r="E14" s="12">
        <v>297</v>
      </c>
      <c r="F14" s="17">
        <f t="shared" ref="F14" si="50">E13</f>
        <v>264.89999999999998</v>
      </c>
      <c r="G14" s="19">
        <f t="shared" ref="G14" si="51">E14-F14</f>
        <v>32.100000000000023</v>
      </c>
      <c r="H14" s="17">
        <f t="shared" si="23"/>
        <v>1</v>
      </c>
      <c r="I14" s="19">
        <f t="shared" ref="I14" si="52">G14*H14</f>
        <v>32.100000000000023</v>
      </c>
      <c r="J14" s="12">
        <v>2206</v>
      </c>
      <c r="K14" s="17">
        <f t="shared" ref="K14" si="53">J13</f>
        <v>1882.3</v>
      </c>
      <c r="L14" s="19">
        <f t="shared" ref="L14" si="54">J14-K14</f>
        <v>323.70000000000005</v>
      </c>
      <c r="M14" s="17">
        <f t="shared" si="26"/>
        <v>1</v>
      </c>
      <c r="N14" s="19">
        <f t="shared" ref="N14" si="55">L14*M14</f>
        <v>323.70000000000005</v>
      </c>
      <c r="O14" s="17">
        <f t="shared" ref="O14" si="56">N14-I14</f>
        <v>291.60000000000002</v>
      </c>
      <c r="P14" s="12">
        <v>2791</v>
      </c>
      <c r="Q14" s="17">
        <f t="shared" ref="Q14" si="57">P13</f>
        <v>2450</v>
      </c>
      <c r="R14" s="19">
        <f t="shared" ref="R14" si="58">P14-Q14</f>
        <v>341</v>
      </c>
      <c r="S14" s="17">
        <f t="shared" si="29"/>
        <v>1</v>
      </c>
      <c r="T14" s="19">
        <f t="shared" ref="T14" si="59">R14*S14</f>
        <v>341</v>
      </c>
      <c r="U14" s="19">
        <v>0.12</v>
      </c>
      <c r="V14" s="19">
        <v>0.95</v>
      </c>
      <c r="W14" s="25"/>
    </row>
    <row r="15" spans="1:23" ht="15.75" x14ac:dyDescent="0.25">
      <c r="A15" s="12">
        <v>9</v>
      </c>
      <c r="B15" s="22" t="s">
        <v>254</v>
      </c>
      <c r="C15" s="19" t="s">
        <v>123</v>
      </c>
      <c r="D15" s="19" t="s">
        <v>124</v>
      </c>
      <c r="E15" s="12">
        <v>322.89999999999998</v>
      </c>
      <c r="F15" s="17">
        <f t="shared" ref="F15" si="60">E14</f>
        <v>297</v>
      </c>
      <c r="G15" s="19">
        <f t="shared" ref="G15" si="61">E15-F15</f>
        <v>25.899999999999977</v>
      </c>
      <c r="H15" s="17">
        <f t="shared" si="23"/>
        <v>1</v>
      </c>
      <c r="I15" s="19">
        <f t="shared" ref="I15" si="62">G15*H15</f>
        <v>25.899999999999977</v>
      </c>
      <c r="J15" s="12">
        <v>2501.5</v>
      </c>
      <c r="K15" s="17">
        <f t="shared" ref="K15" si="63">J14</f>
        <v>2206</v>
      </c>
      <c r="L15" s="19">
        <f t="shared" ref="L15" si="64">J15-K15</f>
        <v>295.5</v>
      </c>
      <c r="M15" s="17">
        <f t="shared" si="26"/>
        <v>1</v>
      </c>
      <c r="N15" s="19">
        <f t="shared" ref="N15" si="65">L15*M15</f>
        <v>295.5</v>
      </c>
      <c r="O15" s="17">
        <f t="shared" ref="O15" si="66">N15-I15</f>
        <v>269.60000000000002</v>
      </c>
      <c r="P15" s="12">
        <v>3123.6</v>
      </c>
      <c r="Q15" s="17">
        <f t="shared" ref="Q15" si="67">P14</f>
        <v>2791</v>
      </c>
      <c r="R15" s="19">
        <f t="shared" ref="R15" si="68">P15-Q15</f>
        <v>332.59999999999991</v>
      </c>
      <c r="S15" s="17">
        <f t="shared" si="29"/>
        <v>1</v>
      </c>
      <c r="T15" s="19">
        <f t="shared" ref="T15" si="69">R15*S15</f>
        <v>332.59999999999991</v>
      </c>
      <c r="U15" s="19">
        <v>0.18</v>
      </c>
      <c r="V15" s="19">
        <v>0.75</v>
      </c>
      <c r="W15" s="25"/>
    </row>
    <row r="16" spans="1:23" ht="15.75" x14ac:dyDescent="0.25">
      <c r="A16" s="12">
        <v>10</v>
      </c>
      <c r="B16" s="22" t="s">
        <v>258</v>
      </c>
      <c r="C16" s="19" t="s">
        <v>123</v>
      </c>
      <c r="D16" s="19" t="s">
        <v>124</v>
      </c>
      <c r="E16" s="12">
        <v>345.9</v>
      </c>
      <c r="F16" s="17">
        <f t="shared" ref="F16" si="70">E15</f>
        <v>322.89999999999998</v>
      </c>
      <c r="G16" s="19">
        <f t="shared" ref="G16:G18" si="71">E16-F16</f>
        <v>23</v>
      </c>
      <c r="H16" s="17">
        <f t="shared" ref="H16" si="72">H15</f>
        <v>1</v>
      </c>
      <c r="I16" s="19">
        <f t="shared" ref="I16:I18" si="73">G16*H16</f>
        <v>23</v>
      </c>
      <c r="J16" s="12">
        <v>2841.5</v>
      </c>
      <c r="K16" s="17">
        <f t="shared" ref="K16" si="74">J15</f>
        <v>2501.5</v>
      </c>
      <c r="L16" s="19">
        <f t="shared" ref="L16" si="75">J16-K16</f>
        <v>340</v>
      </c>
      <c r="M16" s="17">
        <f t="shared" ref="M16" si="76">M15</f>
        <v>1</v>
      </c>
      <c r="N16" s="19">
        <f t="shared" ref="N16" si="77">L16*M16</f>
        <v>340</v>
      </c>
      <c r="O16" s="17">
        <f t="shared" ref="O16:O18" si="78">N16-I16</f>
        <v>317</v>
      </c>
      <c r="P16" s="12">
        <v>3494.6</v>
      </c>
      <c r="Q16" s="17">
        <f t="shared" ref="Q16" si="79">P15</f>
        <v>3123.6</v>
      </c>
      <c r="R16" s="19">
        <f t="shared" ref="R16" si="80">P16-Q16</f>
        <v>371</v>
      </c>
      <c r="S16" s="17">
        <f t="shared" ref="S16" si="81">S15</f>
        <v>1</v>
      </c>
      <c r="T16" s="19">
        <f t="shared" ref="T16" si="82">R16*S16</f>
        <v>371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22" t="s">
        <v>121</v>
      </c>
      <c r="I17" s="12">
        <f>SUM(I7:I16)</f>
        <v>342.2</v>
      </c>
      <c r="J17" s="12"/>
      <c r="K17" s="17"/>
      <c r="L17" s="12"/>
      <c r="M17" s="17"/>
      <c r="N17" s="12">
        <f t="shared" ref="N17:O17" si="83">SUM(N7:N16)</f>
        <v>2841.3</v>
      </c>
      <c r="O17" s="12">
        <f t="shared" si="83"/>
        <v>2499.1</v>
      </c>
      <c r="P17" s="12"/>
      <c r="Q17" s="17"/>
      <c r="R17" s="12"/>
      <c r="S17" s="17"/>
      <c r="T17" s="12">
        <f>SUM(T7:T16)</f>
        <v>3101.7999999999997</v>
      </c>
      <c r="U17" s="12"/>
      <c r="V17" s="12"/>
      <c r="W17" s="31"/>
    </row>
    <row r="18" spans="1:23" s="3" customFormat="1" ht="15.75" x14ac:dyDescent="0.25">
      <c r="A18" s="12">
        <v>11</v>
      </c>
      <c r="B18" s="22" t="s">
        <v>259</v>
      </c>
      <c r="C18" s="19" t="s">
        <v>201</v>
      </c>
      <c r="D18" s="19" t="s">
        <v>124</v>
      </c>
      <c r="E18" s="12">
        <v>370.8</v>
      </c>
      <c r="F18" s="17">
        <f>E16</f>
        <v>345.9</v>
      </c>
      <c r="G18" s="19">
        <f t="shared" si="71"/>
        <v>24.900000000000034</v>
      </c>
      <c r="H18" s="91">
        <v>1</v>
      </c>
      <c r="I18" s="19">
        <f t="shared" si="73"/>
        <v>24.900000000000034</v>
      </c>
      <c r="J18" s="12">
        <v>3207.5</v>
      </c>
      <c r="K18" s="17">
        <f>J16</f>
        <v>2841.5</v>
      </c>
      <c r="L18" s="19">
        <f t="shared" ref="L18" si="84">J18-K18</f>
        <v>366</v>
      </c>
      <c r="M18" s="17">
        <f>M16</f>
        <v>1</v>
      </c>
      <c r="N18" s="19">
        <f t="shared" ref="N18" si="85">L18*M18</f>
        <v>366</v>
      </c>
      <c r="O18" s="17">
        <f t="shared" si="78"/>
        <v>341.09999999999997</v>
      </c>
      <c r="P18" s="12">
        <v>3890.6</v>
      </c>
      <c r="Q18" s="17">
        <f>P16</f>
        <v>3494.6</v>
      </c>
      <c r="R18" s="19">
        <f t="shared" ref="R18" si="86">P18-Q18</f>
        <v>396</v>
      </c>
      <c r="S18" s="17">
        <f>S16</f>
        <v>1</v>
      </c>
      <c r="T18" s="19">
        <f t="shared" ref="T18" si="87">R18*S18</f>
        <v>396</v>
      </c>
      <c r="U18" s="12">
        <v>0.1</v>
      </c>
      <c r="V18" s="12">
        <v>0.54</v>
      </c>
      <c r="W18" s="31"/>
    </row>
    <row r="19" spans="1:23" s="3" customFormat="1" ht="15.75" x14ac:dyDescent="0.25">
      <c r="A19" s="12">
        <v>12</v>
      </c>
      <c r="B19" s="22" t="s">
        <v>263</v>
      </c>
      <c r="C19" s="19" t="s">
        <v>201</v>
      </c>
      <c r="D19" s="19" t="s">
        <v>124</v>
      </c>
      <c r="E19" s="12">
        <v>394.6</v>
      </c>
      <c r="F19" s="17">
        <f t="shared" ref="F19:F24" si="88">E18</f>
        <v>370.8</v>
      </c>
      <c r="G19" s="19">
        <f t="shared" ref="G19" si="89">E19-F19</f>
        <v>23.800000000000011</v>
      </c>
      <c r="H19" s="91">
        <f t="shared" ref="H19:H59" si="90">H18</f>
        <v>1</v>
      </c>
      <c r="I19" s="19">
        <f t="shared" ref="I19" si="91">G19*H19</f>
        <v>23.800000000000011</v>
      </c>
      <c r="J19" s="12">
        <v>3520.4</v>
      </c>
      <c r="K19" s="17">
        <f t="shared" ref="K19:K24" si="92">J18</f>
        <v>3207.5</v>
      </c>
      <c r="L19" s="19">
        <f t="shared" ref="L19" si="93">J19-K19</f>
        <v>312.90000000000009</v>
      </c>
      <c r="M19" s="17">
        <f t="shared" ref="M19:M59" si="94">M18</f>
        <v>1</v>
      </c>
      <c r="N19" s="19">
        <f t="shared" ref="N19" si="95">L19*M19</f>
        <v>312.90000000000009</v>
      </c>
      <c r="O19" s="17">
        <f t="shared" ref="O19" si="96">N19-I19</f>
        <v>289.10000000000008</v>
      </c>
      <c r="P19" s="12">
        <f>P18+344</f>
        <v>4234.6000000000004</v>
      </c>
      <c r="Q19" s="17">
        <f t="shared" ref="Q19:Q24" si="97">P18</f>
        <v>3890.6</v>
      </c>
      <c r="R19" s="19">
        <f t="shared" ref="R19" si="98">P19-Q19</f>
        <v>344.00000000000045</v>
      </c>
      <c r="S19" s="17">
        <f t="shared" ref="S19:S59" si="99">S18</f>
        <v>1</v>
      </c>
      <c r="T19" s="19">
        <f t="shared" ref="T19" si="100">R19*S19</f>
        <v>344.00000000000045</v>
      </c>
      <c r="U19" s="12">
        <v>0.15</v>
      </c>
      <c r="V19" s="12">
        <v>0.98</v>
      </c>
      <c r="W19" s="31"/>
    </row>
    <row r="20" spans="1:23" s="3" customFormat="1" ht="15.75" x14ac:dyDescent="0.25">
      <c r="A20" s="12">
        <v>13</v>
      </c>
      <c r="B20" s="22" t="s">
        <v>265</v>
      </c>
      <c r="C20" s="19" t="s">
        <v>201</v>
      </c>
      <c r="D20" s="19" t="s">
        <v>124</v>
      </c>
      <c r="E20" s="12">
        <v>416.6</v>
      </c>
      <c r="F20" s="17">
        <f t="shared" si="88"/>
        <v>394.6</v>
      </c>
      <c r="G20" s="19">
        <f t="shared" ref="G20" si="101">E20-F20</f>
        <v>22</v>
      </c>
      <c r="H20" s="91">
        <f t="shared" si="90"/>
        <v>1</v>
      </c>
      <c r="I20" s="19">
        <f t="shared" ref="I20" si="102">G20*H20</f>
        <v>22</v>
      </c>
      <c r="J20" s="12">
        <v>3771.9</v>
      </c>
      <c r="K20" s="17">
        <f t="shared" si="92"/>
        <v>3520.4</v>
      </c>
      <c r="L20" s="19">
        <f t="shared" ref="L20" si="103">J20-K20</f>
        <v>251.5</v>
      </c>
      <c r="M20" s="17">
        <f t="shared" si="94"/>
        <v>1</v>
      </c>
      <c r="N20" s="19">
        <f t="shared" ref="N20" si="104">L20*M20</f>
        <v>251.5</v>
      </c>
      <c r="O20" s="17">
        <f t="shared" ref="O20" si="105">N20-I20</f>
        <v>229.5</v>
      </c>
      <c r="P20" s="12">
        <v>4492.1000000000004</v>
      </c>
      <c r="Q20" s="17">
        <f t="shared" si="97"/>
        <v>4234.6000000000004</v>
      </c>
      <c r="R20" s="19">
        <f t="shared" ref="R20" si="106">P20-Q20</f>
        <v>257.5</v>
      </c>
      <c r="S20" s="17">
        <f t="shared" si="99"/>
        <v>1</v>
      </c>
      <c r="T20" s="19">
        <f t="shared" ref="T20" si="107">R20*S20</f>
        <v>257.5</v>
      </c>
      <c r="U20" s="12">
        <v>0.12</v>
      </c>
      <c r="V20" s="12">
        <v>0.99</v>
      </c>
      <c r="W20" s="31"/>
    </row>
    <row r="21" spans="1:23" s="3" customFormat="1" ht="15.75" x14ac:dyDescent="0.25">
      <c r="A21" s="12">
        <v>14</v>
      </c>
      <c r="B21" s="22" t="s">
        <v>266</v>
      </c>
      <c r="C21" s="19" t="s">
        <v>201</v>
      </c>
      <c r="D21" s="19" t="s">
        <v>124</v>
      </c>
      <c r="E21" s="12">
        <v>438.5</v>
      </c>
      <c r="F21" s="17">
        <f t="shared" si="88"/>
        <v>416.6</v>
      </c>
      <c r="G21" s="19">
        <f t="shared" ref="G21" si="108">E21-F21</f>
        <v>21.899999999999977</v>
      </c>
      <c r="H21" s="91">
        <f t="shared" si="90"/>
        <v>1</v>
      </c>
      <c r="I21" s="19">
        <f t="shared" ref="I21" si="109">G21*H21</f>
        <v>21.899999999999977</v>
      </c>
      <c r="J21" s="12">
        <v>4023.5</v>
      </c>
      <c r="K21" s="17">
        <f t="shared" si="92"/>
        <v>3771.9</v>
      </c>
      <c r="L21" s="19">
        <f t="shared" ref="L21" si="110">J21-K21</f>
        <v>251.59999999999991</v>
      </c>
      <c r="M21" s="17">
        <f t="shared" si="94"/>
        <v>1</v>
      </c>
      <c r="N21" s="19">
        <f t="shared" ref="N21" si="111">L21*M21</f>
        <v>251.59999999999991</v>
      </c>
      <c r="O21" s="17">
        <f t="shared" ref="O21" si="112">N21-I21</f>
        <v>229.69999999999993</v>
      </c>
      <c r="P21" s="12">
        <v>4785.3</v>
      </c>
      <c r="Q21" s="17">
        <f t="shared" si="97"/>
        <v>4492.1000000000004</v>
      </c>
      <c r="R21" s="19">
        <f t="shared" ref="R21" si="113">P21-Q21</f>
        <v>293.19999999999982</v>
      </c>
      <c r="S21" s="17">
        <f t="shared" si="99"/>
        <v>1</v>
      </c>
      <c r="T21" s="19">
        <f t="shared" ref="T21" si="114">R21*S21</f>
        <v>293.19999999999982</v>
      </c>
      <c r="U21" s="12">
        <v>0.17</v>
      </c>
      <c r="V21" s="12">
        <v>0.97</v>
      </c>
      <c r="W21" s="31"/>
    </row>
    <row r="22" spans="1:23" s="3" customFormat="1" ht="15.75" x14ac:dyDescent="0.25">
      <c r="A22" s="12">
        <v>15</v>
      </c>
      <c r="B22" s="22" t="s">
        <v>267</v>
      </c>
      <c r="C22" s="19" t="s">
        <v>201</v>
      </c>
      <c r="D22" s="19" t="s">
        <v>124</v>
      </c>
      <c r="E22" s="12">
        <v>460.9</v>
      </c>
      <c r="F22" s="17">
        <f t="shared" si="88"/>
        <v>438.5</v>
      </c>
      <c r="G22" s="19">
        <f t="shared" ref="G22" si="115">E22-F22</f>
        <v>22.399999999999977</v>
      </c>
      <c r="H22" s="91">
        <f t="shared" si="90"/>
        <v>1</v>
      </c>
      <c r="I22" s="19">
        <f t="shared" ref="I22" si="116">G22*H22</f>
        <v>22.399999999999977</v>
      </c>
      <c r="J22" s="12">
        <v>4272.8</v>
      </c>
      <c r="K22" s="17">
        <f t="shared" si="92"/>
        <v>4023.5</v>
      </c>
      <c r="L22" s="19">
        <f t="shared" ref="L22" si="117">J22-K22</f>
        <v>249.30000000000018</v>
      </c>
      <c r="M22" s="17">
        <f t="shared" si="94"/>
        <v>1</v>
      </c>
      <c r="N22" s="19">
        <f t="shared" ref="N22" si="118">L22*M22</f>
        <v>249.30000000000018</v>
      </c>
      <c r="O22" s="17">
        <f t="shared" ref="O22" si="119">N22-I22</f>
        <v>226.9000000000002</v>
      </c>
      <c r="P22" s="12">
        <v>5048.5</v>
      </c>
      <c r="Q22" s="17">
        <f t="shared" si="97"/>
        <v>4785.3</v>
      </c>
      <c r="R22" s="19">
        <f t="shared" ref="R22" si="120">P22-Q22</f>
        <v>263.19999999999982</v>
      </c>
      <c r="S22" s="17">
        <f t="shared" si="99"/>
        <v>1</v>
      </c>
      <c r="T22" s="19">
        <f t="shared" ref="T22" si="121">R22*S22</f>
        <v>263.19999999999982</v>
      </c>
      <c r="U22" s="12">
        <v>0.17</v>
      </c>
      <c r="V22" s="12">
        <v>0.97</v>
      </c>
      <c r="W22" s="31"/>
    </row>
    <row r="23" spans="1:23" s="3" customFormat="1" ht="15.75" x14ac:dyDescent="0.25">
      <c r="A23" s="12">
        <v>16</v>
      </c>
      <c r="B23" s="22" t="s">
        <v>268</v>
      </c>
      <c r="C23" s="19" t="s">
        <v>201</v>
      </c>
      <c r="D23" s="19" t="s">
        <v>124</v>
      </c>
      <c r="E23" s="12">
        <v>490.3</v>
      </c>
      <c r="F23" s="17">
        <f t="shared" si="88"/>
        <v>460.9</v>
      </c>
      <c r="G23" s="19">
        <f t="shared" ref="G23" si="122">E23-F23</f>
        <v>29.400000000000034</v>
      </c>
      <c r="H23" s="91">
        <f t="shared" si="90"/>
        <v>1</v>
      </c>
      <c r="I23" s="19">
        <f t="shared" ref="I23" si="123">G23*H23</f>
        <v>29.400000000000034</v>
      </c>
      <c r="J23" s="12">
        <v>4521.1000000000004</v>
      </c>
      <c r="K23" s="17">
        <f t="shared" si="92"/>
        <v>4272.8</v>
      </c>
      <c r="L23" s="19">
        <f t="shared" ref="L23" si="124">J23-K23</f>
        <v>248.30000000000018</v>
      </c>
      <c r="M23" s="17">
        <f t="shared" si="94"/>
        <v>1</v>
      </c>
      <c r="N23" s="19">
        <f t="shared" ref="N23" si="125">L23*M23</f>
        <v>248.30000000000018</v>
      </c>
      <c r="O23" s="17">
        <f t="shared" ref="O23" si="126">N23-I23</f>
        <v>218.90000000000015</v>
      </c>
      <c r="P23" s="12">
        <v>5313.5</v>
      </c>
      <c r="Q23" s="17">
        <f t="shared" si="97"/>
        <v>5048.5</v>
      </c>
      <c r="R23" s="19">
        <f t="shared" ref="R23" si="127">P23-Q23</f>
        <v>265</v>
      </c>
      <c r="S23" s="17">
        <f t="shared" si="99"/>
        <v>1</v>
      </c>
      <c r="T23" s="19">
        <f t="shared" ref="T23" si="128">R23*S23</f>
        <v>265</v>
      </c>
      <c r="U23" s="12">
        <v>0.14000000000000001</v>
      </c>
      <c r="V23" s="12">
        <v>0.99</v>
      </c>
      <c r="W23" s="31"/>
    </row>
    <row r="24" spans="1:23" ht="15.75" x14ac:dyDescent="0.25">
      <c r="A24" s="12">
        <v>17</v>
      </c>
      <c r="B24" s="22" t="s">
        <v>272</v>
      </c>
      <c r="C24" s="19" t="s">
        <v>201</v>
      </c>
      <c r="D24" s="19" t="s">
        <v>124</v>
      </c>
      <c r="E24" s="12">
        <v>519.4</v>
      </c>
      <c r="F24" s="17">
        <f t="shared" si="88"/>
        <v>490.3</v>
      </c>
      <c r="G24" s="19">
        <f t="shared" ref="G24" si="129">E24-F24</f>
        <v>29.099999999999966</v>
      </c>
      <c r="H24" s="91">
        <f t="shared" si="90"/>
        <v>1</v>
      </c>
      <c r="I24" s="19">
        <f t="shared" ref="I24" si="130">G24*H24</f>
        <v>29.099999999999966</v>
      </c>
      <c r="J24" s="12">
        <v>4813.8999999999996</v>
      </c>
      <c r="K24" s="17">
        <f t="shared" si="92"/>
        <v>4521.1000000000004</v>
      </c>
      <c r="L24" s="19">
        <f t="shared" ref="L24" si="131">J24-K24</f>
        <v>292.79999999999927</v>
      </c>
      <c r="M24" s="17">
        <f t="shared" si="94"/>
        <v>1</v>
      </c>
      <c r="N24" s="19">
        <f t="shared" ref="N24" si="132">L24*M24</f>
        <v>292.79999999999927</v>
      </c>
      <c r="O24" s="17">
        <f t="shared" ref="O24" si="133">N24-I24</f>
        <v>263.69999999999931</v>
      </c>
      <c r="P24" s="12">
        <v>5642</v>
      </c>
      <c r="Q24" s="17">
        <f t="shared" si="97"/>
        <v>5313.5</v>
      </c>
      <c r="R24" s="19">
        <f t="shared" ref="R24" si="134">P24-Q24</f>
        <v>328.5</v>
      </c>
      <c r="S24" s="17">
        <f t="shared" si="99"/>
        <v>1</v>
      </c>
      <c r="T24" s="19">
        <f t="shared" ref="T24" si="135">R24*S24</f>
        <v>328.5</v>
      </c>
      <c r="U24" s="19">
        <v>0.17299999999999999</v>
      </c>
      <c r="V24" s="19">
        <v>0.98</v>
      </c>
      <c r="W24" s="25"/>
    </row>
    <row r="25" spans="1:23" ht="15.75" x14ac:dyDescent="0.25">
      <c r="A25" s="12">
        <v>18</v>
      </c>
      <c r="B25" s="22" t="s">
        <v>274</v>
      </c>
      <c r="C25" s="19" t="s">
        <v>201</v>
      </c>
      <c r="D25" s="19" t="s">
        <v>124</v>
      </c>
      <c r="E25" s="12">
        <v>546.79999999999995</v>
      </c>
      <c r="F25" s="17">
        <f t="shared" ref="F25" si="136">E24</f>
        <v>519.4</v>
      </c>
      <c r="G25" s="19">
        <f t="shared" ref="G25" si="137">E25-F25</f>
        <v>27.399999999999977</v>
      </c>
      <c r="H25" s="91">
        <f t="shared" si="90"/>
        <v>1</v>
      </c>
      <c r="I25" s="19">
        <f t="shared" ref="I25" si="138">G25*H25</f>
        <v>27.399999999999977</v>
      </c>
      <c r="J25" s="12">
        <v>5093</v>
      </c>
      <c r="K25" s="17">
        <f t="shared" ref="K25" si="139">J24</f>
        <v>4813.8999999999996</v>
      </c>
      <c r="L25" s="19">
        <f t="shared" ref="L25" si="140">J25-K25</f>
        <v>279.10000000000036</v>
      </c>
      <c r="M25" s="17">
        <f t="shared" si="94"/>
        <v>1</v>
      </c>
      <c r="N25" s="19">
        <f t="shared" ref="N25" si="141">L25*M25</f>
        <v>279.10000000000036</v>
      </c>
      <c r="O25" s="17">
        <f t="shared" ref="O25" si="142">N25-I25</f>
        <v>251.70000000000039</v>
      </c>
      <c r="P25" s="12">
        <v>5951.5</v>
      </c>
      <c r="Q25" s="17">
        <f t="shared" ref="Q25" si="143">P24</f>
        <v>5642</v>
      </c>
      <c r="R25" s="19">
        <f t="shared" ref="R25" si="144">P25-Q25</f>
        <v>309.5</v>
      </c>
      <c r="S25" s="17">
        <f t="shared" si="99"/>
        <v>1</v>
      </c>
      <c r="T25" s="19">
        <f t="shared" ref="T25" si="145">R25*S25</f>
        <v>309.5</v>
      </c>
      <c r="U25" s="19">
        <v>0.16</v>
      </c>
      <c r="V25" s="19">
        <v>0.98</v>
      </c>
      <c r="W25" s="25"/>
    </row>
    <row r="26" spans="1:23" ht="15.75" x14ac:dyDescent="0.25">
      <c r="A26" s="12">
        <v>19</v>
      </c>
      <c r="B26" s="22" t="s">
        <v>276</v>
      </c>
      <c r="C26" s="19" t="s">
        <v>201</v>
      </c>
      <c r="D26" s="19" t="s">
        <v>124</v>
      </c>
      <c r="E26" s="12">
        <v>579</v>
      </c>
      <c r="F26" s="17">
        <f t="shared" ref="F26" si="146">E25</f>
        <v>546.79999999999995</v>
      </c>
      <c r="G26" s="19">
        <f t="shared" ref="G26" si="147">E26-F26</f>
        <v>32.200000000000045</v>
      </c>
      <c r="H26" s="91">
        <f t="shared" si="90"/>
        <v>1</v>
      </c>
      <c r="I26" s="19">
        <f t="shared" ref="I26" si="148">G26*H26</f>
        <v>32.200000000000045</v>
      </c>
      <c r="J26" s="12">
        <v>5364.4</v>
      </c>
      <c r="K26" s="17">
        <f t="shared" ref="K26" si="149">J25</f>
        <v>5093</v>
      </c>
      <c r="L26" s="19">
        <f t="shared" ref="L26" si="150">J26-K26</f>
        <v>271.39999999999964</v>
      </c>
      <c r="M26" s="17">
        <f t="shared" si="94"/>
        <v>1</v>
      </c>
      <c r="N26" s="19">
        <f t="shared" ref="N26" si="151">L26*M26</f>
        <v>271.39999999999964</v>
      </c>
      <c r="O26" s="17">
        <f t="shared" ref="O26" si="152">N26-I26</f>
        <v>239.19999999999959</v>
      </c>
      <c r="P26" s="12">
        <v>6242.1</v>
      </c>
      <c r="Q26" s="17">
        <f t="shared" ref="Q26" si="153">P25</f>
        <v>5951.5</v>
      </c>
      <c r="R26" s="19">
        <f t="shared" ref="R26" si="154">P26-Q26</f>
        <v>290.60000000000036</v>
      </c>
      <c r="S26" s="17">
        <f t="shared" si="99"/>
        <v>1</v>
      </c>
      <c r="T26" s="19">
        <f t="shared" ref="T26" si="155">R26*S26</f>
        <v>290.60000000000036</v>
      </c>
      <c r="U26" s="19">
        <v>0.15</v>
      </c>
      <c r="V26" s="19">
        <v>0.9</v>
      </c>
      <c r="W26" s="25"/>
    </row>
    <row r="27" spans="1:23" ht="15.75" x14ac:dyDescent="0.25">
      <c r="A27" s="12">
        <v>20</v>
      </c>
      <c r="B27" s="22" t="s">
        <v>262</v>
      </c>
      <c r="C27" s="19" t="s">
        <v>201</v>
      </c>
      <c r="D27" s="19" t="s">
        <v>124</v>
      </c>
      <c r="E27" s="12">
        <v>610</v>
      </c>
      <c r="F27" s="17">
        <f t="shared" ref="F27" si="156">E26</f>
        <v>579</v>
      </c>
      <c r="G27" s="19">
        <f t="shared" ref="G27" si="157">E27-F27</f>
        <v>31</v>
      </c>
      <c r="H27" s="91">
        <f t="shared" si="90"/>
        <v>1</v>
      </c>
      <c r="I27" s="19">
        <f t="shared" ref="I27" si="158">G27*H27</f>
        <v>31</v>
      </c>
      <c r="J27" s="12">
        <v>5636.6</v>
      </c>
      <c r="K27" s="17">
        <f t="shared" ref="K27" si="159">J26</f>
        <v>5364.4</v>
      </c>
      <c r="L27" s="19">
        <f t="shared" ref="L27" si="160">J27-K27</f>
        <v>272.20000000000073</v>
      </c>
      <c r="M27" s="17">
        <f t="shared" si="94"/>
        <v>1</v>
      </c>
      <c r="N27" s="19">
        <f t="shared" ref="N27" si="161">L27*M27</f>
        <v>272.20000000000073</v>
      </c>
      <c r="O27" s="17">
        <f t="shared" ref="O27" si="162">N27-I27</f>
        <v>241.20000000000073</v>
      </c>
      <c r="P27" s="12">
        <v>6557.8</v>
      </c>
      <c r="Q27" s="17">
        <f t="shared" ref="Q27" si="163">P26</f>
        <v>6242.1</v>
      </c>
      <c r="R27" s="19">
        <f t="shared" ref="R27" si="164">P27-Q27</f>
        <v>315.69999999999982</v>
      </c>
      <c r="S27" s="17">
        <f t="shared" si="99"/>
        <v>1</v>
      </c>
      <c r="T27" s="19">
        <f t="shared" ref="T27" si="165">R27*S27</f>
        <v>315.69999999999982</v>
      </c>
      <c r="U27" s="19">
        <v>0.15</v>
      </c>
      <c r="V27" s="19">
        <v>0.98</v>
      </c>
      <c r="W27" s="25"/>
    </row>
    <row r="28" spans="1:23" ht="15.75" x14ac:dyDescent="0.25">
      <c r="A28" s="12">
        <v>21</v>
      </c>
      <c r="B28" s="22" t="s">
        <v>277</v>
      </c>
      <c r="C28" s="19" t="s">
        <v>201</v>
      </c>
      <c r="D28" s="19" t="s">
        <v>124</v>
      </c>
      <c r="E28" s="12">
        <v>636.5</v>
      </c>
      <c r="F28" s="17">
        <f t="shared" ref="F28" si="166">E27</f>
        <v>610</v>
      </c>
      <c r="G28" s="19">
        <f t="shared" ref="G28" si="167">E28-F28</f>
        <v>26.5</v>
      </c>
      <c r="H28" s="91">
        <f t="shared" si="90"/>
        <v>1</v>
      </c>
      <c r="I28" s="19">
        <f t="shared" ref="I28" si="168">G28*H28</f>
        <v>26.5</v>
      </c>
      <c r="J28" s="12">
        <v>5933.8</v>
      </c>
      <c r="K28" s="17">
        <f t="shared" ref="K28" si="169">J27</f>
        <v>5636.6</v>
      </c>
      <c r="L28" s="19">
        <f t="shared" ref="L28" si="170">J28-K28</f>
        <v>297.19999999999982</v>
      </c>
      <c r="M28" s="17">
        <f t="shared" si="94"/>
        <v>1</v>
      </c>
      <c r="N28" s="19">
        <f t="shared" ref="N28" si="171">L28*M28</f>
        <v>297.19999999999982</v>
      </c>
      <c r="O28" s="17">
        <f t="shared" ref="O28:O35" si="172">N28-I28</f>
        <v>270.69999999999982</v>
      </c>
      <c r="P28" s="12">
        <v>6861</v>
      </c>
      <c r="Q28" s="17">
        <f t="shared" ref="Q28" si="173">P27</f>
        <v>6557.8</v>
      </c>
      <c r="R28" s="19">
        <f t="shared" ref="R28" si="174">P28-Q28</f>
        <v>303.19999999999982</v>
      </c>
      <c r="S28" s="17">
        <f t="shared" si="99"/>
        <v>1</v>
      </c>
      <c r="T28" s="19">
        <f t="shared" ref="T28" si="175">R28*S28</f>
        <v>303.19999999999982</v>
      </c>
      <c r="U28" s="19">
        <v>0.14000000000000001</v>
      </c>
      <c r="V28" s="19">
        <v>0.99</v>
      </c>
      <c r="W28" s="25"/>
    </row>
    <row r="29" spans="1:23" ht="15.75" x14ac:dyDescent="0.25">
      <c r="A29" s="12">
        <v>22</v>
      </c>
      <c r="B29" s="22" t="s">
        <v>278</v>
      </c>
      <c r="C29" s="19" t="s">
        <v>201</v>
      </c>
      <c r="D29" s="19" t="s">
        <v>124</v>
      </c>
      <c r="E29" s="12">
        <v>664.6</v>
      </c>
      <c r="F29" s="17">
        <f t="shared" ref="F29" si="176">E28</f>
        <v>636.5</v>
      </c>
      <c r="G29" s="19">
        <f t="shared" ref="G29" si="177">E29-F29</f>
        <v>28.100000000000023</v>
      </c>
      <c r="H29" s="91">
        <f t="shared" si="90"/>
        <v>1</v>
      </c>
      <c r="I29" s="19">
        <f t="shared" ref="I29" si="178">G29*H29</f>
        <v>28.100000000000023</v>
      </c>
      <c r="J29" s="12">
        <v>6243.2</v>
      </c>
      <c r="K29" s="17">
        <f t="shared" ref="K29" si="179">J28</f>
        <v>5933.8</v>
      </c>
      <c r="L29" s="19">
        <f t="shared" ref="L29" si="180">J29-K29</f>
        <v>309.39999999999964</v>
      </c>
      <c r="M29" s="17">
        <f t="shared" si="94"/>
        <v>1</v>
      </c>
      <c r="N29" s="19">
        <f t="shared" ref="N29" si="181">L29*M29</f>
        <v>309.39999999999964</v>
      </c>
      <c r="O29" s="17">
        <f t="shared" si="172"/>
        <v>281.29999999999961</v>
      </c>
      <c r="P29" s="12">
        <v>7219.5</v>
      </c>
      <c r="Q29" s="17">
        <f t="shared" ref="Q29" si="182">P28</f>
        <v>6861</v>
      </c>
      <c r="R29" s="19">
        <f t="shared" ref="R29" si="183">P29-Q29</f>
        <v>358.5</v>
      </c>
      <c r="S29" s="17">
        <f t="shared" si="99"/>
        <v>1</v>
      </c>
      <c r="T29" s="19">
        <f t="shared" ref="T29" si="184">R29*S29</f>
        <v>358.5</v>
      </c>
      <c r="U29" s="19">
        <v>0.12</v>
      </c>
      <c r="V29" s="19">
        <v>0.99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201</v>
      </c>
      <c r="D31" s="19" t="s">
        <v>124</v>
      </c>
      <c r="E31" s="12">
        <v>693.6</v>
      </c>
      <c r="F31" s="17">
        <f t="shared" ref="F31" si="185">E29</f>
        <v>664.6</v>
      </c>
      <c r="G31" s="19">
        <f t="shared" ref="G31" si="186">E31-F31</f>
        <v>29</v>
      </c>
      <c r="H31" s="91">
        <f>H29</f>
        <v>1</v>
      </c>
      <c r="I31" s="19">
        <f t="shared" ref="I31" si="187">G31*H31</f>
        <v>29</v>
      </c>
      <c r="J31" s="12">
        <v>6553.2</v>
      </c>
      <c r="K31" s="17">
        <f t="shared" ref="K31" si="188">J29</f>
        <v>6243.2</v>
      </c>
      <c r="L31" s="19">
        <f t="shared" ref="L31" si="189">J31-K31</f>
        <v>310</v>
      </c>
      <c r="M31" s="17">
        <f>M29</f>
        <v>1</v>
      </c>
      <c r="N31" s="19">
        <f t="shared" ref="N31" si="190">L31*M31</f>
        <v>310</v>
      </c>
      <c r="O31" s="17">
        <f t="shared" si="172"/>
        <v>281</v>
      </c>
      <c r="P31" s="12">
        <f>P29+360</f>
        <v>7579.5</v>
      </c>
      <c r="Q31" s="17">
        <f t="shared" ref="Q31" si="191">P29</f>
        <v>7219.5</v>
      </c>
      <c r="R31" s="19">
        <f t="shared" ref="R31" si="192">P31-Q31</f>
        <v>360</v>
      </c>
      <c r="S31" s="17">
        <f>S29</f>
        <v>1</v>
      </c>
      <c r="T31" s="19">
        <f t="shared" ref="T31" si="193">R31*S31</f>
        <v>360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201</v>
      </c>
      <c r="D32" s="19" t="s">
        <v>124</v>
      </c>
      <c r="E32" s="12">
        <v>763.9</v>
      </c>
      <c r="F32" s="17">
        <f t="shared" ref="F32" si="194">E31</f>
        <v>693.6</v>
      </c>
      <c r="G32" s="19">
        <f t="shared" ref="G32" si="195">E32-F32</f>
        <v>70.299999999999955</v>
      </c>
      <c r="H32" s="91">
        <f t="shared" si="90"/>
        <v>1</v>
      </c>
      <c r="I32" s="19">
        <f t="shared" ref="I32" si="196">G32*H32</f>
        <v>70.299999999999955</v>
      </c>
      <c r="J32" s="12">
        <v>6689</v>
      </c>
      <c r="K32" s="17">
        <f t="shared" ref="K32" si="197">J31</f>
        <v>6553.2</v>
      </c>
      <c r="L32" s="19">
        <f t="shared" ref="L32" si="198">J32-K32</f>
        <v>135.80000000000018</v>
      </c>
      <c r="M32" s="17">
        <f t="shared" si="94"/>
        <v>1</v>
      </c>
      <c r="N32" s="19">
        <f t="shared" ref="N32" si="199">L32*M32</f>
        <v>135.80000000000018</v>
      </c>
      <c r="O32" s="17">
        <f t="shared" si="172"/>
        <v>65.500000000000227</v>
      </c>
      <c r="P32" s="12">
        <v>7744.2</v>
      </c>
      <c r="Q32" s="17">
        <f t="shared" ref="Q32" si="200">P31</f>
        <v>7579.5</v>
      </c>
      <c r="R32" s="19">
        <f t="shared" ref="R32" si="201">P32-Q32</f>
        <v>164.69999999999982</v>
      </c>
      <c r="S32" s="17">
        <f t="shared" si="99"/>
        <v>1</v>
      </c>
      <c r="T32" s="19">
        <f t="shared" ref="T32" si="202">R32*S32</f>
        <v>164.69999999999982</v>
      </c>
      <c r="U32" s="19">
        <v>0.17</v>
      </c>
      <c r="V32" s="19">
        <v>0.96</v>
      </c>
      <c r="W32" s="25"/>
    </row>
    <row r="33" spans="1:23" ht="15.75" x14ac:dyDescent="0.25">
      <c r="A33" s="12">
        <v>25</v>
      </c>
      <c r="B33" s="22" t="s">
        <v>281</v>
      </c>
      <c r="C33" s="19" t="s">
        <v>201</v>
      </c>
      <c r="D33" s="19" t="s">
        <v>124</v>
      </c>
      <c r="E33" s="12">
        <v>845.2</v>
      </c>
      <c r="F33" s="17">
        <f t="shared" ref="F33" si="203">E32</f>
        <v>763.9</v>
      </c>
      <c r="G33" s="19">
        <f t="shared" ref="G33" si="204">E33-F33</f>
        <v>81.300000000000068</v>
      </c>
      <c r="H33" s="91">
        <f t="shared" si="90"/>
        <v>1</v>
      </c>
      <c r="I33" s="19">
        <f t="shared" ref="I33" si="205">G33*H33</f>
        <v>81.300000000000068</v>
      </c>
      <c r="J33" s="12">
        <v>6925.4</v>
      </c>
      <c r="K33" s="17">
        <f t="shared" ref="K33" si="206">J32</f>
        <v>6689</v>
      </c>
      <c r="L33" s="19">
        <f t="shared" ref="L33" si="207">J33-K33</f>
        <v>236.39999999999964</v>
      </c>
      <c r="M33" s="17">
        <f t="shared" si="94"/>
        <v>1</v>
      </c>
      <c r="N33" s="19">
        <f t="shared" ref="N33" si="208">L33*M33</f>
        <v>236.39999999999964</v>
      </c>
      <c r="O33" s="17">
        <f t="shared" si="172"/>
        <v>155.09999999999957</v>
      </c>
      <c r="P33" s="12">
        <v>8007.8</v>
      </c>
      <c r="Q33" s="17">
        <f t="shared" ref="Q33" si="209">P32</f>
        <v>7744.2</v>
      </c>
      <c r="R33" s="19">
        <f t="shared" ref="R33" si="210">P33-Q33</f>
        <v>263.60000000000036</v>
      </c>
      <c r="S33" s="17">
        <f t="shared" si="99"/>
        <v>1</v>
      </c>
      <c r="T33" s="19">
        <f t="shared" ref="T33" si="211">R33*S33</f>
        <v>263.60000000000036</v>
      </c>
      <c r="U33" s="19">
        <v>0.42</v>
      </c>
      <c r="V33" s="19">
        <v>0.94</v>
      </c>
      <c r="W33" s="25"/>
    </row>
    <row r="34" spans="1:23" ht="15.75" x14ac:dyDescent="0.25">
      <c r="A34" s="12">
        <v>26</v>
      </c>
      <c r="B34" s="22" t="s">
        <v>282</v>
      </c>
      <c r="C34" s="19" t="s">
        <v>201</v>
      </c>
      <c r="D34" s="19" t="s">
        <v>124</v>
      </c>
      <c r="E34" s="12">
        <v>916.1</v>
      </c>
      <c r="F34" s="17">
        <f t="shared" ref="F34" si="212">E33</f>
        <v>845.2</v>
      </c>
      <c r="G34" s="19">
        <f t="shared" ref="G34" si="213">E34-F34</f>
        <v>70.899999999999977</v>
      </c>
      <c r="H34" s="91">
        <f t="shared" si="90"/>
        <v>1</v>
      </c>
      <c r="I34" s="19">
        <f t="shared" ref="I34" si="214">G34*H34</f>
        <v>70.899999999999977</v>
      </c>
      <c r="J34" s="12">
        <v>7118.5</v>
      </c>
      <c r="K34" s="17">
        <f t="shared" ref="K34" si="215">J33</f>
        <v>6925.4</v>
      </c>
      <c r="L34" s="19">
        <f t="shared" ref="L34" si="216">J34-K34</f>
        <v>193.10000000000036</v>
      </c>
      <c r="M34" s="17">
        <f t="shared" si="94"/>
        <v>1</v>
      </c>
      <c r="N34" s="19">
        <f t="shared" ref="N34" si="217">L34*M34</f>
        <v>193.10000000000036</v>
      </c>
      <c r="O34" s="17">
        <f t="shared" si="172"/>
        <v>122.20000000000039</v>
      </c>
      <c r="P34" s="12">
        <v>8268.2000000000007</v>
      </c>
      <c r="Q34" s="17">
        <f t="shared" ref="Q34" si="218">P33</f>
        <v>8007.8</v>
      </c>
      <c r="R34" s="19">
        <f t="shared" ref="R34" si="219">P34-Q34</f>
        <v>260.40000000000055</v>
      </c>
      <c r="S34" s="17">
        <f t="shared" si="99"/>
        <v>1</v>
      </c>
      <c r="T34" s="19">
        <f t="shared" ref="T34" si="220">R34*S34</f>
        <v>260.40000000000055</v>
      </c>
      <c r="U34" s="19">
        <v>0.52</v>
      </c>
      <c r="V34" s="19">
        <v>0.94</v>
      </c>
      <c r="W34" s="25"/>
    </row>
    <row r="35" spans="1:23" ht="15.75" x14ac:dyDescent="0.25">
      <c r="A35" s="12">
        <v>27</v>
      </c>
      <c r="B35" s="22" t="s">
        <v>283</v>
      </c>
      <c r="C35" s="19" t="s">
        <v>201</v>
      </c>
      <c r="D35" s="19" t="s">
        <v>124</v>
      </c>
      <c r="E35" s="12">
        <v>986.2</v>
      </c>
      <c r="F35" s="17">
        <f t="shared" ref="F35" si="221">E34</f>
        <v>916.1</v>
      </c>
      <c r="G35" s="19">
        <f t="shared" ref="G35" si="222">E35-F35</f>
        <v>70.100000000000023</v>
      </c>
      <c r="H35" s="91">
        <f t="shared" si="90"/>
        <v>1</v>
      </c>
      <c r="I35" s="19">
        <f t="shared" ref="I35" si="223">G35*H35</f>
        <v>70.100000000000023</v>
      </c>
      <c r="J35" s="12">
        <v>7325.4</v>
      </c>
      <c r="K35" s="17">
        <f t="shared" ref="K35" si="224">J34</f>
        <v>7118.5</v>
      </c>
      <c r="L35" s="19">
        <f t="shared" ref="L35" si="225">J35-K35</f>
        <v>206.89999999999964</v>
      </c>
      <c r="M35" s="17">
        <f t="shared" si="94"/>
        <v>1</v>
      </c>
      <c r="N35" s="19">
        <f t="shared" ref="N35" si="226">L35*M35</f>
        <v>206.89999999999964</v>
      </c>
      <c r="O35" s="17">
        <f t="shared" si="172"/>
        <v>136.79999999999961</v>
      </c>
      <c r="P35" s="12">
        <v>8522.2000000000007</v>
      </c>
      <c r="Q35" s="17">
        <f t="shared" ref="Q35" si="227">P34</f>
        <v>8268.2000000000007</v>
      </c>
      <c r="R35" s="19">
        <f t="shared" ref="R35" si="228">P35-Q35</f>
        <v>254</v>
      </c>
      <c r="S35" s="17">
        <f t="shared" si="99"/>
        <v>1</v>
      </c>
      <c r="T35" s="19">
        <f t="shared" ref="T35" si="229">R35*S35</f>
        <v>254</v>
      </c>
      <c r="U35" s="19">
        <v>0.34</v>
      </c>
      <c r="V35" s="19">
        <v>0.98</v>
      </c>
      <c r="W35" s="25"/>
    </row>
    <row r="36" spans="1:23" ht="15.75" x14ac:dyDescent="0.25">
      <c r="A36" s="12">
        <v>28</v>
      </c>
      <c r="B36" s="22" t="s">
        <v>284</v>
      </c>
      <c r="C36" s="19" t="s">
        <v>201</v>
      </c>
      <c r="D36" s="19" t="s">
        <v>124</v>
      </c>
      <c r="E36" s="12">
        <f>E35+70</f>
        <v>1056.2</v>
      </c>
      <c r="F36" s="17">
        <f t="shared" ref="F36" si="230">E35</f>
        <v>986.2</v>
      </c>
      <c r="G36" s="19">
        <f t="shared" ref="G36" si="231">E36-F36</f>
        <v>70</v>
      </c>
      <c r="H36" s="91">
        <f t="shared" si="90"/>
        <v>1</v>
      </c>
      <c r="I36" s="19">
        <f t="shared" ref="I36" si="232">G36*H36</f>
        <v>70</v>
      </c>
      <c r="J36" s="12">
        <v>7561.8</v>
      </c>
      <c r="K36" s="17">
        <f t="shared" ref="K36" si="233">J35</f>
        <v>7325.4</v>
      </c>
      <c r="L36" s="19">
        <f t="shared" ref="L36" si="234">J36-K36</f>
        <v>236.40000000000055</v>
      </c>
      <c r="M36" s="17">
        <f t="shared" si="94"/>
        <v>1</v>
      </c>
      <c r="N36" s="19">
        <f t="shared" ref="N36" si="235">L36*M36</f>
        <v>236.40000000000055</v>
      </c>
      <c r="O36" s="17">
        <f t="shared" ref="O36" si="236">N36-I36</f>
        <v>166.40000000000055</v>
      </c>
      <c r="P36" s="12">
        <v>8819.5</v>
      </c>
      <c r="Q36" s="17">
        <f t="shared" ref="Q36" si="237">P35</f>
        <v>8522.2000000000007</v>
      </c>
      <c r="R36" s="19">
        <f t="shared" ref="R36" si="238">P36-Q36</f>
        <v>297.29999999999927</v>
      </c>
      <c r="S36" s="17">
        <f t="shared" si="99"/>
        <v>1</v>
      </c>
      <c r="T36" s="19">
        <f t="shared" ref="T36" si="239">R36*S36</f>
        <v>297.29999999999927</v>
      </c>
      <c r="U36" s="19">
        <v>0.25</v>
      </c>
      <c r="V36" s="19">
        <v>0.99</v>
      </c>
      <c r="W36" s="25"/>
    </row>
    <row r="37" spans="1:23" ht="15.75" x14ac:dyDescent="0.25">
      <c r="A37" s="12">
        <v>29</v>
      </c>
      <c r="B37" s="22" t="s">
        <v>286</v>
      </c>
      <c r="C37" s="19" t="s">
        <v>201</v>
      </c>
      <c r="D37" s="19" t="s">
        <v>124</v>
      </c>
      <c r="E37" s="12">
        <v>1135.2</v>
      </c>
      <c r="F37" s="17">
        <f t="shared" ref="F37" si="240">E36</f>
        <v>1056.2</v>
      </c>
      <c r="G37" s="19">
        <f t="shared" ref="G37" si="241">E37-F37</f>
        <v>79</v>
      </c>
      <c r="H37" s="91">
        <f t="shared" si="90"/>
        <v>1</v>
      </c>
      <c r="I37" s="19">
        <f t="shared" ref="I37" si="242">G37*H37</f>
        <v>79</v>
      </c>
      <c r="J37" s="12">
        <v>7788.8</v>
      </c>
      <c r="K37" s="17">
        <f t="shared" ref="K37" si="243">J36</f>
        <v>7561.8</v>
      </c>
      <c r="L37" s="19">
        <f t="shared" ref="L37" si="244">J37-K37</f>
        <v>227</v>
      </c>
      <c r="M37" s="17">
        <f t="shared" si="94"/>
        <v>1</v>
      </c>
      <c r="N37" s="19">
        <f t="shared" ref="N37" si="245">L37*M37</f>
        <v>227</v>
      </c>
      <c r="O37" s="17">
        <f t="shared" ref="O37" si="246">N37-I37</f>
        <v>148</v>
      </c>
      <c r="P37" s="12">
        <v>9164.7999999999993</v>
      </c>
      <c r="Q37" s="17">
        <f t="shared" ref="Q37" si="247">P36</f>
        <v>8819.5</v>
      </c>
      <c r="R37" s="19">
        <f t="shared" ref="R37" si="248">P37-Q37</f>
        <v>345.29999999999927</v>
      </c>
      <c r="S37" s="17">
        <f t="shared" si="99"/>
        <v>1</v>
      </c>
      <c r="T37" s="19">
        <f t="shared" ref="T37" si="249">R37*S37</f>
        <v>345.29999999999927</v>
      </c>
      <c r="U37" s="19">
        <v>0.33</v>
      </c>
      <c r="V37" s="19">
        <v>0.87</v>
      </c>
      <c r="W37" s="25"/>
    </row>
    <row r="38" spans="1:23" ht="15.75" x14ac:dyDescent="0.25">
      <c r="A38" s="12">
        <v>30</v>
      </c>
      <c r="B38" s="22" t="s">
        <v>288</v>
      </c>
      <c r="C38" s="19" t="s">
        <v>201</v>
      </c>
      <c r="D38" s="19" t="s">
        <v>124</v>
      </c>
      <c r="E38" s="12">
        <v>1214.0999999999999</v>
      </c>
      <c r="F38" s="17">
        <f t="shared" ref="F38" si="250">E37</f>
        <v>1135.2</v>
      </c>
      <c r="G38" s="19">
        <f t="shared" ref="G38" si="251">E38-F38</f>
        <v>78.899999999999864</v>
      </c>
      <c r="H38" s="91">
        <f t="shared" si="90"/>
        <v>1</v>
      </c>
      <c r="I38" s="19">
        <f t="shared" ref="I38" si="252">G38*H38</f>
        <v>78.899999999999864</v>
      </c>
      <c r="J38" s="12">
        <v>7948.1</v>
      </c>
      <c r="K38" s="17">
        <f t="shared" ref="K38" si="253">J37</f>
        <v>7788.8</v>
      </c>
      <c r="L38" s="19">
        <f t="shared" ref="L38" si="254">J38-K38</f>
        <v>159.30000000000018</v>
      </c>
      <c r="M38" s="17">
        <f t="shared" si="94"/>
        <v>1</v>
      </c>
      <c r="N38" s="19">
        <f t="shared" ref="N38" si="255">L38*M38</f>
        <v>159.30000000000018</v>
      </c>
      <c r="O38" s="17">
        <f t="shared" ref="O38" si="256">N38-I38</f>
        <v>80.400000000000318</v>
      </c>
      <c r="P38" s="12">
        <v>9349</v>
      </c>
      <c r="Q38" s="17">
        <f t="shared" ref="Q38" si="257">P37</f>
        <v>9164.7999999999993</v>
      </c>
      <c r="R38" s="19">
        <f t="shared" ref="R38" si="258">P38-Q38</f>
        <v>184.20000000000073</v>
      </c>
      <c r="S38" s="17">
        <f t="shared" si="99"/>
        <v>1</v>
      </c>
      <c r="T38" s="19">
        <f t="shared" ref="T38" si="259">R38*S38</f>
        <v>184.20000000000073</v>
      </c>
      <c r="U38" s="19">
        <v>0.3</v>
      </c>
      <c r="V38" s="19">
        <v>0.98</v>
      </c>
      <c r="W38" s="25"/>
    </row>
    <row r="39" spans="1:23" ht="15.75" x14ac:dyDescent="0.25">
      <c r="A39" s="12">
        <v>31</v>
      </c>
      <c r="B39" s="22" t="s">
        <v>289</v>
      </c>
      <c r="C39" s="19" t="s">
        <v>201</v>
      </c>
      <c r="D39" s="19" t="s">
        <v>124</v>
      </c>
      <c r="E39" s="12">
        <v>1288.4000000000001</v>
      </c>
      <c r="F39" s="17">
        <f t="shared" ref="F39" si="260">E38</f>
        <v>1214.0999999999999</v>
      </c>
      <c r="G39" s="19">
        <f t="shared" ref="G39" si="261">E39-F39</f>
        <v>74.300000000000182</v>
      </c>
      <c r="H39" s="91">
        <f t="shared" si="90"/>
        <v>1</v>
      </c>
      <c r="I39" s="19">
        <f t="shared" ref="I39" si="262">G39*H39</f>
        <v>74.300000000000182</v>
      </c>
      <c r="J39" s="12">
        <v>8188.6</v>
      </c>
      <c r="K39" s="17">
        <f t="shared" ref="K39" si="263">J38</f>
        <v>7948.1</v>
      </c>
      <c r="L39" s="19">
        <f t="shared" ref="L39" si="264">J39-K39</f>
        <v>240.5</v>
      </c>
      <c r="M39" s="17">
        <f t="shared" si="94"/>
        <v>1</v>
      </c>
      <c r="N39" s="19">
        <f t="shared" ref="N39" si="265">L39*M39</f>
        <v>240.5</v>
      </c>
      <c r="O39" s="17">
        <f t="shared" ref="O39" si="266">N39-I39</f>
        <v>166.19999999999982</v>
      </c>
      <c r="P39" s="12">
        <v>9622.2000000000007</v>
      </c>
      <c r="Q39" s="17">
        <f t="shared" ref="Q39" si="267">P38</f>
        <v>9349</v>
      </c>
      <c r="R39" s="19">
        <f t="shared" ref="R39" si="268">P39-Q39</f>
        <v>273.20000000000073</v>
      </c>
      <c r="S39" s="17">
        <f t="shared" si="99"/>
        <v>1</v>
      </c>
      <c r="T39" s="19">
        <f t="shared" ref="T39" si="269">R39*S39</f>
        <v>273.20000000000073</v>
      </c>
      <c r="U39" s="19">
        <v>1.2</v>
      </c>
      <c r="V39" s="19">
        <v>0.98</v>
      </c>
      <c r="W39" s="25"/>
    </row>
    <row r="40" spans="1:23" ht="15.75" x14ac:dyDescent="0.25">
      <c r="A40" s="12">
        <v>32</v>
      </c>
      <c r="B40" s="22" t="s">
        <v>290</v>
      </c>
      <c r="C40" s="19" t="s">
        <v>201</v>
      </c>
      <c r="D40" s="19" t="s">
        <v>124</v>
      </c>
      <c r="E40" s="12">
        <v>1361.2</v>
      </c>
      <c r="F40" s="17">
        <f t="shared" ref="F40" si="270">E39</f>
        <v>1288.4000000000001</v>
      </c>
      <c r="G40" s="19">
        <f t="shared" ref="G40" si="271">E40-F40</f>
        <v>72.799999999999955</v>
      </c>
      <c r="H40" s="91">
        <f t="shared" si="90"/>
        <v>1</v>
      </c>
      <c r="I40" s="19">
        <f t="shared" ref="I40" si="272">G40*H40</f>
        <v>72.799999999999955</v>
      </c>
      <c r="J40" s="12">
        <v>8437.2999999999993</v>
      </c>
      <c r="K40" s="17">
        <f t="shared" ref="K40" si="273">J39</f>
        <v>8188.6</v>
      </c>
      <c r="L40" s="19">
        <f t="shared" ref="L40" si="274">J40-K40</f>
        <v>248.69999999999891</v>
      </c>
      <c r="M40" s="17">
        <f t="shared" si="94"/>
        <v>1</v>
      </c>
      <c r="N40" s="19">
        <f t="shared" ref="N40" si="275">L40*M40</f>
        <v>248.69999999999891</v>
      </c>
      <c r="O40" s="17">
        <f t="shared" ref="O40" si="276">N40-I40</f>
        <v>175.89999999999895</v>
      </c>
      <c r="P40" s="12">
        <v>9925.4</v>
      </c>
      <c r="Q40" s="17">
        <f t="shared" ref="Q40" si="277">P39</f>
        <v>9622.2000000000007</v>
      </c>
      <c r="R40" s="19">
        <f t="shared" ref="R40" si="278">P40-Q40</f>
        <v>303.19999999999891</v>
      </c>
      <c r="S40" s="17">
        <f t="shared" si="99"/>
        <v>1</v>
      </c>
      <c r="T40" s="19">
        <f t="shared" ref="T40" si="279">R40*S40</f>
        <v>303.19999999999891</v>
      </c>
      <c r="U40" s="19">
        <v>0.61</v>
      </c>
      <c r="V40" s="19">
        <v>0.99</v>
      </c>
      <c r="W40" s="25"/>
    </row>
    <row r="41" spans="1:23" ht="15.75" x14ac:dyDescent="0.25">
      <c r="A41" s="12">
        <v>33</v>
      </c>
      <c r="B41" s="22" t="s">
        <v>291</v>
      </c>
      <c r="C41" s="19" t="s">
        <v>201</v>
      </c>
      <c r="D41" s="19" t="s">
        <v>124</v>
      </c>
      <c r="E41" s="12">
        <v>1425.6</v>
      </c>
      <c r="F41" s="17">
        <f t="shared" ref="F41:F48" si="280">E40</f>
        <v>1361.2</v>
      </c>
      <c r="G41" s="19">
        <f t="shared" ref="G41:G48" si="281">E41-F41</f>
        <v>64.399999999999864</v>
      </c>
      <c r="H41" s="91">
        <f t="shared" si="90"/>
        <v>1</v>
      </c>
      <c r="I41" s="19">
        <f t="shared" ref="I41:I48" si="282">G41*H41</f>
        <v>64.399999999999864</v>
      </c>
      <c r="J41" s="12">
        <v>8671.7000000000007</v>
      </c>
      <c r="K41" s="17">
        <f t="shared" ref="K41:K48" si="283">J40</f>
        <v>8437.2999999999993</v>
      </c>
      <c r="L41" s="19">
        <f t="shared" ref="L41:L48" si="284">J41-K41</f>
        <v>234.40000000000146</v>
      </c>
      <c r="M41" s="17">
        <f t="shared" si="94"/>
        <v>1</v>
      </c>
      <c r="N41" s="19">
        <f t="shared" ref="N41:N48" si="285">L41*M41</f>
        <v>234.40000000000146</v>
      </c>
      <c r="O41" s="17">
        <f t="shared" ref="O41:O48" si="286">N41-I41</f>
        <v>170.00000000000159</v>
      </c>
      <c r="P41" s="12">
        <v>10229.700000000001</v>
      </c>
      <c r="Q41" s="17">
        <f t="shared" ref="Q41:Q48" si="287">P40</f>
        <v>9925.4</v>
      </c>
      <c r="R41" s="19">
        <f t="shared" ref="R41:R48" si="288">P41-Q41</f>
        <v>304.30000000000109</v>
      </c>
      <c r="S41" s="17">
        <f t="shared" si="99"/>
        <v>1</v>
      </c>
      <c r="T41" s="19">
        <f t="shared" ref="T41:T48" si="289">R41*S41</f>
        <v>304.30000000000109</v>
      </c>
      <c r="U41" s="19">
        <v>1.1599999999999999</v>
      </c>
      <c r="V41" s="19">
        <v>0.98</v>
      </c>
      <c r="W41" s="25"/>
    </row>
    <row r="42" spans="1:23" ht="15.75" x14ac:dyDescent="0.25">
      <c r="A42" s="12">
        <v>34</v>
      </c>
      <c r="B42" s="22" t="s">
        <v>292</v>
      </c>
      <c r="C42" s="19" t="s">
        <v>201</v>
      </c>
      <c r="D42" s="19" t="s">
        <v>124</v>
      </c>
      <c r="E42" s="12">
        <v>1496.8</v>
      </c>
      <c r="F42" s="17">
        <f t="shared" si="280"/>
        <v>1425.6</v>
      </c>
      <c r="G42" s="19">
        <f t="shared" si="281"/>
        <v>71.200000000000045</v>
      </c>
      <c r="H42" s="91">
        <f t="shared" si="90"/>
        <v>1</v>
      </c>
      <c r="I42" s="19">
        <f t="shared" si="282"/>
        <v>71.200000000000045</v>
      </c>
      <c r="J42" s="12">
        <v>8935.7000000000007</v>
      </c>
      <c r="K42" s="17">
        <f t="shared" si="283"/>
        <v>8671.7000000000007</v>
      </c>
      <c r="L42" s="19">
        <f t="shared" si="284"/>
        <v>264</v>
      </c>
      <c r="M42" s="17">
        <f t="shared" si="94"/>
        <v>1</v>
      </c>
      <c r="N42" s="19">
        <f t="shared" si="285"/>
        <v>264</v>
      </c>
      <c r="O42" s="17">
        <f t="shared" si="286"/>
        <v>192.79999999999995</v>
      </c>
      <c r="P42" s="12">
        <v>10586</v>
      </c>
      <c r="Q42" s="17">
        <f t="shared" si="287"/>
        <v>10229.700000000001</v>
      </c>
      <c r="R42" s="19">
        <f t="shared" si="288"/>
        <v>356.29999999999927</v>
      </c>
      <c r="S42" s="17">
        <f t="shared" si="99"/>
        <v>1</v>
      </c>
      <c r="T42" s="19">
        <f t="shared" si="289"/>
        <v>356.29999999999927</v>
      </c>
      <c r="U42" s="19">
        <v>0.67</v>
      </c>
      <c r="V42" s="19">
        <v>0.93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201</v>
      </c>
      <c r="D44" s="19" t="s">
        <v>124</v>
      </c>
      <c r="E44" s="12">
        <v>1599.7</v>
      </c>
      <c r="F44" s="17">
        <f>E42</f>
        <v>1496.8</v>
      </c>
      <c r="G44" s="19">
        <f t="shared" si="281"/>
        <v>102.90000000000009</v>
      </c>
      <c r="H44" s="91">
        <f>H42</f>
        <v>1</v>
      </c>
      <c r="I44" s="19">
        <f t="shared" si="282"/>
        <v>102.90000000000009</v>
      </c>
      <c r="J44" s="12">
        <v>9198.7000000000007</v>
      </c>
      <c r="K44" s="17">
        <f>J42</f>
        <v>8935.7000000000007</v>
      </c>
      <c r="L44" s="19">
        <f t="shared" si="284"/>
        <v>263</v>
      </c>
      <c r="M44" s="17">
        <f>M42</f>
        <v>1</v>
      </c>
      <c r="N44" s="19">
        <f t="shared" si="285"/>
        <v>263</v>
      </c>
      <c r="O44" s="17">
        <f t="shared" si="286"/>
        <v>160.09999999999991</v>
      </c>
      <c r="P44" s="12">
        <v>10899.6</v>
      </c>
      <c r="Q44" s="17">
        <f>P42</f>
        <v>10586</v>
      </c>
      <c r="R44" s="19">
        <f t="shared" si="288"/>
        <v>313.60000000000036</v>
      </c>
      <c r="S44" s="17">
        <f>S42</f>
        <v>1</v>
      </c>
      <c r="T44" s="19">
        <f t="shared" si="289"/>
        <v>313.60000000000036</v>
      </c>
      <c r="U44" s="19">
        <v>0.41</v>
      </c>
      <c r="V44" s="19">
        <v>0.96</v>
      </c>
      <c r="W44" s="25"/>
    </row>
    <row r="45" spans="1:23" ht="15.75" x14ac:dyDescent="0.25">
      <c r="A45" s="12">
        <v>36</v>
      </c>
      <c r="B45" s="22" t="s">
        <v>294</v>
      </c>
      <c r="C45" s="19" t="s">
        <v>201</v>
      </c>
      <c r="D45" s="19" t="s">
        <v>124</v>
      </c>
      <c r="E45" s="12">
        <v>1693.4</v>
      </c>
      <c r="F45" s="17">
        <f t="shared" si="280"/>
        <v>1599.7</v>
      </c>
      <c r="G45" s="19">
        <f t="shared" si="281"/>
        <v>93.700000000000045</v>
      </c>
      <c r="H45" s="91">
        <f t="shared" si="90"/>
        <v>1</v>
      </c>
      <c r="I45" s="19">
        <f t="shared" si="282"/>
        <v>93.700000000000045</v>
      </c>
      <c r="J45" s="12">
        <v>9393.5</v>
      </c>
      <c r="K45" s="17">
        <f t="shared" si="283"/>
        <v>9198.7000000000007</v>
      </c>
      <c r="L45" s="19">
        <f t="shared" si="284"/>
        <v>194.79999999999927</v>
      </c>
      <c r="M45" s="17">
        <f t="shared" si="94"/>
        <v>1</v>
      </c>
      <c r="N45" s="19">
        <f t="shared" si="285"/>
        <v>194.79999999999927</v>
      </c>
      <c r="O45" s="17">
        <f t="shared" si="286"/>
        <v>101.09999999999923</v>
      </c>
      <c r="P45" s="12">
        <v>11126</v>
      </c>
      <c r="Q45" s="17">
        <f t="shared" si="287"/>
        <v>10899.6</v>
      </c>
      <c r="R45" s="19">
        <f t="shared" si="288"/>
        <v>226.39999999999964</v>
      </c>
      <c r="S45" s="17">
        <f t="shared" si="99"/>
        <v>1</v>
      </c>
      <c r="T45" s="19">
        <f t="shared" si="289"/>
        <v>226.39999999999964</v>
      </c>
      <c r="U45" s="19">
        <v>0.6</v>
      </c>
      <c r="V45" s="19">
        <v>0.9</v>
      </c>
      <c r="W45" s="25"/>
    </row>
    <row r="46" spans="1:23" ht="15.75" x14ac:dyDescent="0.25">
      <c r="A46" s="12">
        <v>37</v>
      </c>
      <c r="B46" s="22" t="s">
        <v>295</v>
      </c>
      <c r="C46" s="19" t="s">
        <v>201</v>
      </c>
      <c r="D46" s="19" t="s">
        <v>124</v>
      </c>
      <c r="E46" s="12">
        <v>1757.7</v>
      </c>
      <c r="F46" s="17">
        <f t="shared" si="280"/>
        <v>1693.4</v>
      </c>
      <c r="G46" s="19">
        <f t="shared" si="281"/>
        <v>64.299999999999955</v>
      </c>
      <c r="H46" s="91">
        <f t="shared" si="90"/>
        <v>1</v>
      </c>
      <c r="I46" s="19">
        <f t="shared" si="282"/>
        <v>64.299999999999955</v>
      </c>
      <c r="J46" s="12">
        <v>9590.9</v>
      </c>
      <c r="K46" s="17">
        <f t="shared" si="283"/>
        <v>9393.5</v>
      </c>
      <c r="L46" s="19">
        <f t="shared" si="284"/>
        <v>197.39999999999964</v>
      </c>
      <c r="M46" s="17">
        <f t="shared" si="94"/>
        <v>1</v>
      </c>
      <c r="N46" s="19">
        <f t="shared" si="285"/>
        <v>197.39999999999964</v>
      </c>
      <c r="O46" s="17">
        <f t="shared" si="286"/>
        <v>133.09999999999968</v>
      </c>
      <c r="P46" s="12">
        <v>11393.8</v>
      </c>
      <c r="Q46" s="17">
        <f t="shared" si="287"/>
        <v>11126</v>
      </c>
      <c r="R46" s="19">
        <f t="shared" si="288"/>
        <v>267.79999999999927</v>
      </c>
      <c r="S46" s="17">
        <f t="shared" si="99"/>
        <v>1</v>
      </c>
      <c r="T46" s="19">
        <f t="shared" si="289"/>
        <v>267.79999999999927</v>
      </c>
      <c r="U46" s="19">
        <v>1.1399999999999999</v>
      </c>
      <c r="V46" s="19">
        <v>0.92</v>
      </c>
      <c r="W46" s="25"/>
    </row>
    <row r="47" spans="1:23" ht="15.75" x14ac:dyDescent="0.25">
      <c r="A47" s="12">
        <v>38</v>
      </c>
      <c r="B47" s="22" t="s">
        <v>296</v>
      </c>
      <c r="C47" s="19" t="s">
        <v>201</v>
      </c>
      <c r="D47" s="19" t="s">
        <v>124</v>
      </c>
      <c r="E47" s="12">
        <v>1842.2</v>
      </c>
      <c r="F47" s="17">
        <f t="shared" si="280"/>
        <v>1757.7</v>
      </c>
      <c r="G47" s="19">
        <f t="shared" si="281"/>
        <v>84.5</v>
      </c>
      <c r="H47" s="91">
        <f t="shared" si="90"/>
        <v>1</v>
      </c>
      <c r="I47" s="19">
        <f t="shared" si="282"/>
        <v>84.5</v>
      </c>
      <c r="J47" s="12">
        <v>9763.4</v>
      </c>
      <c r="K47" s="17">
        <f t="shared" si="283"/>
        <v>9590.9</v>
      </c>
      <c r="L47" s="19">
        <f t="shared" si="284"/>
        <v>172.5</v>
      </c>
      <c r="M47" s="17">
        <f t="shared" si="94"/>
        <v>1</v>
      </c>
      <c r="N47" s="19">
        <f t="shared" si="285"/>
        <v>172.5</v>
      </c>
      <c r="O47" s="17">
        <f t="shared" si="286"/>
        <v>88</v>
      </c>
      <c r="P47" s="12">
        <v>11619.5</v>
      </c>
      <c r="Q47" s="17">
        <f t="shared" si="287"/>
        <v>11393.8</v>
      </c>
      <c r="R47" s="19">
        <f t="shared" si="288"/>
        <v>225.70000000000073</v>
      </c>
      <c r="S47" s="17">
        <f t="shared" si="99"/>
        <v>1</v>
      </c>
      <c r="T47" s="19">
        <f t="shared" si="289"/>
        <v>225.70000000000073</v>
      </c>
      <c r="U47" s="19">
        <v>0.43</v>
      </c>
      <c r="V47" s="19">
        <v>0.96</v>
      </c>
      <c r="W47" s="25"/>
    </row>
    <row r="48" spans="1:23" ht="15.75" x14ac:dyDescent="0.25">
      <c r="A48" s="12">
        <v>39</v>
      </c>
      <c r="B48" s="22" t="s">
        <v>297</v>
      </c>
      <c r="C48" s="19" t="s">
        <v>201</v>
      </c>
      <c r="D48" s="19" t="s">
        <v>124</v>
      </c>
      <c r="E48" s="12">
        <v>1922.8</v>
      </c>
      <c r="F48" s="17">
        <f t="shared" si="280"/>
        <v>1842.2</v>
      </c>
      <c r="G48" s="19">
        <f t="shared" si="281"/>
        <v>80.599999999999909</v>
      </c>
      <c r="H48" s="91">
        <f t="shared" si="90"/>
        <v>1</v>
      </c>
      <c r="I48" s="19">
        <f t="shared" si="282"/>
        <v>80.599999999999909</v>
      </c>
      <c r="J48" s="12">
        <v>9939.4</v>
      </c>
      <c r="K48" s="17">
        <f t="shared" si="283"/>
        <v>9763.4</v>
      </c>
      <c r="L48" s="19">
        <f t="shared" si="284"/>
        <v>176</v>
      </c>
      <c r="M48" s="17">
        <f t="shared" si="94"/>
        <v>1</v>
      </c>
      <c r="N48" s="19">
        <f t="shared" si="285"/>
        <v>176</v>
      </c>
      <c r="O48" s="17">
        <f t="shared" si="286"/>
        <v>95.400000000000091</v>
      </c>
      <c r="P48" s="12">
        <v>11868</v>
      </c>
      <c r="Q48" s="17">
        <f t="shared" si="287"/>
        <v>11619.5</v>
      </c>
      <c r="R48" s="19">
        <f t="shared" si="288"/>
        <v>248.5</v>
      </c>
      <c r="S48" s="17">
        <f t="shared" si="99"/>
        <v>1</v>
      </c>
      <c r="T48" s="19">
        <f t="shared" si="289"/>
        <v>248.5</v>
      </c>
      <c r="U48" s="19">
        <v>0.86</v>
      </c>
      <c r="V48" s="19">
        <v>0.89</v>
      </c>
      <c r="W48" s="25"/>
    </row>
    <row r="49" spans="1:23" ht="15.75" x14ac:dyDescent="0.25">
      <c r="A49" s="12">
        <v>40</v>
      </c>
      <c r="B49" s="22" t="s">
        <v>298</v>
      </c>
      <c r="C49" s="19" t="s">
        <v>201</v>
      </c>
      <c r="D49" s="19" t="s">
        <v>124</v>
      </c>
      <c r="E49" s="12">
        <v>2016.8</v>
      </c>
      <c r="F49" s="17">
        <f t="shared" ref="F49" si="290">E48</f>
        <v>1922.8</v>
      </c>
      <c r="G49" s="19">
        <f t="shared" ref="G49" si="291">E49-F49</f>
        <v>94</v>
      </c>
      <c r="H49" s="91">
        <f t="shared" si="90"/>
        <v>1</v>
      </c>
      <c r="I49" s="19">
        <f t="shared" ref="I49" si="292">G49*H49</f>
        <v>94</v>
      </c>
      <c r="J49" s="12">
        <v>10162.1</v>
      </c>
      <c r="K49" s="17">
        <f t="shared" ref="K49" si="293">J48</f>
        <v>9939.4</v>
      </c>
      <c r="L49" s="19">
        <f t="shared" ref="L49" si="294">J49-K49</f>
        <v>222.70000000000073</v>
      </c>
      <c r="M49" s="17">
        <f t="shared" si="94"/>
        <v>1</v>
      </c>
      <c r="N49" s="19">
        <f t="shared" ref="N49" si="295">L49*M49</f>
        <v>222.70000000000073</v>
      </c>
      <c r="O49" s="17">
        <f t="shared" ref="O49" si="296">N49-I49</f>
        <v>128.70000000000073</v>
      </c>
      <c r="P49" s="12">
        <v>12146.8</v>
      </c>
      <c r="Q49" s="17">
        <f t="shared" ref="Q49" si="297">P48</f>
        <v>11868</v>
      </c>
      <c r="R49" s="19">
        <f t="shared" ref="R49" si="298">P49-Q49</f>
        <v>278.79999999999927</v>
      </c>
      <c r="S49" s="17">
        <f t="shared" si="99"/>
        <v>1</v>
      </c>
      <c r="T49" s="19">
        <f t="shared" ref="T49" si="299">R49*S49</f>
        <v>278.79999999999927</v>
      </c>
      <c r="U49" s="19">
        <v>1.1200000000000001</v>
      </c>
      <c r="V49" s="19">
        <v>0.94</v>
      </c>
      <c r="W49" s="25"/>
    </row>
    <row r="50" spans="1:23" ht="15.75" x14ac:dyDescent="0.25">
      <c r="A50" s="12">
        <v>41</v>
      </c>
      <c r="B50" s="22" t="s">
        <v>299</v>
      </c>
      <c r="C50" s="19" t="s">
        <v>201</v>
      </c>
      <c r="D50" s="19" t="s">
        <v>124</v>
      </c>
      <c r="E50" s="12">
        <v>2099.4</v>
      </c>
      <c r="F50" s="17">
        <f t="shared" ref="F50" si="300">E49</f>
        <v>2016.8</v>
      </c>
      <c r="G50" s="19">
        <f t="shared" ref="G50" si="301">E50-F50</f>
        <v>82.600000000000136</v>
      </c>
      <c r="H50" s="91">
        <f t="shared" si="90"/>
        <v>1</v>
      </c>
      <c r="I50" s="19">
        <f t="shared" ref="I50" si="302">G50*H50</f>
        <v>82.600000000000136</v>
      </c>
      <c r="J50" s="12">
        <v>10391.799999999999</v>
      </c>
      <c r="K50" s="17">
        <f t="shared" ref="K50" si="303">J49</f>
        <v>10162.1</v>
      </c>
      <c r="L50" s="19">
        <f t="shared" ref="L50" si="304">J50-K50</f>
        <v>229.69999999999891</v>
      </c>
      <c r="M50" s="17">
        <f t="shared" si="94"/>
        <v>1</v>
      </c>
      <c r="N50" s="19">
        <f t="shared" ref="N50" si="305">L50*M50</f>
        <v>229.69999999999891</v>
      </c>
      <c r="O50" s="17">
        <f t="shared" ref="O50" si="306">N50-I50</f>
        <v>147.09999999999877</v>
      </c>
      <c r="P50" s="12">
        <v>12446.8</v>
      </c>
      <c r="Q50" s="17">
        <f t="shared" ref="Q50" si="307">P49</f>
        <v>12146.8</v>
      </c>
      <c r="R50" s="19">
        <f t="shared" ref="R50" si="308">P50-Q50</f>
        <v>300</v>
      </c>
      <c r="S50" s="17">
        <f t="shared" si="99"/>
        <v>1</v>
      </c>
      <c r="T50" s="19">
        <f t="shared" ref="T50" si="309">R50*S50</f>
        <v>300</v>
      </c>
      <c r="U50" s="19">
        <v>0.35</v>
      </c>
      <c r="V50" s="19">
        <v>0.99</v>
      </c>
      <c r="W50" s="25"/>
    </row>
    <row r="51" spans="1:23" ht="15.75" x14ac:dyDescent="0.25">
      <c r="A51" s="12">
        <v>42</v>
      </c>
      <c r="B51" s="22" t="s">
        <v>300</v>
      </c>
      <c r="C51" s="19" t="s">
        <v>201</v>
      </c>
      <c r="D51" s="19" t="s">
        <v>124</v>
      </c>
      <c r="E51" s="12">
        <v>2183.1999999999998</v>
      </c>
      <c r="F51" s="17">
        <f t="shared" ref="F51:F54" si="310">E50</f>
        <v>2099.4</v>
      </c>
      <c r="G51" s="19">
        <f t="shared" ref="G51:G54" si="311">E51-F51</f>
        <v>83.799999999999727</v>
      </c>
      <c r="H51" s="91">
        <f t="shared" si="90"/>
        <v>1</v>
      </c>
      <c r="I51" s="19">
        <f t="shared" ref="I51:I54" si="312">G51*H51</f>
        <v>83.799999999999727</v>
      </c>
      <c r="J51" s="12">
        <v>10661.1</v>
      </c>
      <c r="K51" s="17">
        <f t="shared" ref="K51:K54" si="313">J50</f>
        <v>10391.799999999999</v>
      </c>
      <c r="L51" s="19">
        <f t="shared" ref="L51:L54" si="314">J51-K51</f>
        <v>269.30000000000109</v>
      </c>
      <c r="M51" s="17">
        <f t="shared" si="94"/>
        <v>1</v>
      </c>
      <c r="N51" s="19">
        <f t="shared" ref="N51:N54" si="315">L51*M51</f>
        <v>269.30000000000109</v>
      </c>
      <c r="O51" s="17">
        <f t="shared" ref="O51:O54" si="316">N51-I51</f>
        <v>185.50000000000136</v>
      </c>
      <c r="P51" s="12">
        <v>12704.8</v>
      </c>
      <c r="Q51" s="17">
        <f t="shared" ref="Q51:Q54" si="317">P50</f>
        <v>12446.8</v>
      </c>
      <c r="R51" s="19">
        <f t="shared" ref="R51:R54" si="318">P51-Q51</f>
        <v>258</v>
      </c>
      <c r="S51" s="17">
        <f t="shared" si="99"/>
        <v>1</v>
      </c>
      <c r="T51" s="19">
        <f t="shared" ref="T51:T54" si="319">R51*S51</f>
        <v>258</v>
      </c>
      <c r="U51" s="19">
        <v>0.31</v>
      </c>
      <c r="V51" s="19">
        <v>0.98</v>
      </c>
      <c r="W51" s="25"/>
    </row>
    <row r="52" spans="1:23" ht="15.75" x14ac:dyDescent="0.25">
      <c r="A52" s="12">
        <v>43</v>
      </c>
      <c r="B52" s="22" t="s">
        <v>301</v>
      </c>
      <c r="C52" s="19" t="s">
        <v>201</v>
      </c>
      <c r="D52" s="19" t="s">
        <v>124</v>
      </c>
      <c r="E52" s="12">
        <v>2271.6</v>
      </c>
      <c r="F52" s="17">
        <f t="shared" si="310"/>
        <v>2183.1999999999998</v>
      </c>
      <c r="G52" s="19">
        <f t="shared" si="311"/>
        <v>88.400000000000091</v>
      </c>
      <c r="H52" s="91">
        <f t="shared" si="90"/>
        <v>1</v>
      </c>
      <c r="I52" s="19">
        <f t="shared" si="312"/>
        <v>88.400000000000091</v>
      </c>
      <c r="J52" s="12">
        <v>10812.5</v>
      </c>
      <c r="K52" s="17">
        <f t="shared" si="313"/>
        <v>10661.1</v>
      </c>
      <c r="L52" s="19">
        <f t="shared" si="314"/>
        <v>151.39999999999964</v>
      </c>
      <c r="M52" s="17">
        <f t="shared" si="94"/>
        <v>1</v>
      </c>
      <c r="N52" s="19">
        <f t="shared" si="315"/>
        <v>151.39999999999964</v>
      </c>
      <c r="O52" s="17">
        <f t="shared" si="316"/>
        <v>62.999999999999545</v>
      </c>
      <c r="P52" s="12">
        <v>12983.5</v>
      </c>
      <c r="Q52" s="17">
        <f t="shared" si="317"/>
        <v>12704.8</v>
      </c>
      <c r="R52" s="19">
        <f t="shared" si="318"/>
        <v>278.70000000000073</v>
      </c>
      <c r="S52" s="17">
        <f t="shared" si="99"/>
        <v>1</v>
      </c>
      <c r="T52" s="19">
        <f t="shared" si="319"/>
        <v>278.70000000000073</v>
      </c>
      <c r="U52" s="19">
        <v>0.67</v>
      </c>
      <c r="V52" s="19">
        <v>0.98</v>
      </c>
      <c r="W52" s="25"/>
    </row>
    <row r="53" spans="1:23" ht="15.75" x14ac:dyDescent="0.25">
      <c r="A53" s="105">
        <v>44</v>
      </c>
      <c r="B53" s="22" t="s">
        <v>302</v>
      </c>
      <c r="C53" s="111" t="s">
        <v>201</v>
      </c>
      <c r="D53" s="111" t="s">
        <v>124</v>
      </c>
      <c r="E53" s="105">
        <v>2361.5</v>
      </c>
      <c r="F53" s="106">
        <f t="shared" si="310"/>
        <v>2271.6</v>
      </c>
      <c r="G53" s="111">
        <f t="shared" si="311"/>
        <v>89.900000000000091</v>
      </c>
      <c r="H53" s="91">
        <f t="shared" si="90"/>
        <v>1</v>
      </c>
      <c r="I53" s="111">
        <f t="shared" si="312"/>
        <v>89.900000000000091</v>
      </c>
      <c r="J53" s="105">
        <v>11074.4</v>
      </c>
      <c r="K53" s="106">
        <f t="shared" si="313"/>
        <v>10812.5</v>
      </c>
      <c r="L53" s="111">
        <f t="shared" si="314"/>
        <v>261.89999999999964</v>
      </c>
      <c r="M53" s="106">
        <f t="shared" si="94"/>
        <v>1</v>
      </c>
      <c r="N53" s="111">
        <f t="shared" si="315"/>
        <v>261.89999999999964</v>
      </c>
      <c r="O53" s="106">
        <f t="shared" si="316"/>
        <v>171.99999999999955</v>
      </c>
      <c r="P53" s="105">
        <v>13293.3</v>
      </c>
      <c r="Q53" s="106">
        <f t="shared" si="317"/>
        <v>12983.5</v>
      </c>
      <c r="R53" s="111">
        <f t="shared" si="318"/>
        <v>309.79999999999927</v>
      </c>
      <c r="S53" s="106">
        <f t="shared" si="99"/>
        <v>1</v>
      </c>
      <c r="T53" s="111">
        <f t="shared" si="319"/>
        <v>309.79999999999927</v>
      </c>
      <c r="U53" s="111">
        <v>0.7</v>
      </c>
      <c r="V53" s="111">
        <v>0.97</v>
      </c>
      <c r="W53" s="25"/>
    </row>
    <row r="54" spans="1:23" ht="15.75" x14ac:dyDescent="0.25">
      <c r="A54" s="120">
        <v>45</v>
      </c>
      <c r="B54" s="22" t="s">
        <v>303</v>
      </c>
      <c r="C54" s="118" t="s">
        <v>201</v>
      </c>
      <c r="D54" s="118" t="s">
        <v>124</v>
      </c>
      <c r="E54" s="120">
        <v>2439.9</v>
      </c>
      <c r="F54" s="119">
        <f t="shared" si="310"/>
        <v>2361.5</v>
      </c>
      <c r="G54" s="118">
        <f t="shared" si="311"/>
        <v>78.400000000000091</v>
      </c>
      <c r="H54" s="91">
        <f t="shared" si="90"/>
        <v>1</v>
      </c>
      <c r="I54" s="118">
        <f t="shared" si="312"/>
        <v>78.400000000000091</v>
      </c>
      <c r="J54" s="120">
        <v>11323.4</v>
      </c>
      <c r="K54" s="119">
        <f t="shared" si="313"/>
        <v>11074.4</v>
      </c>
      <c r="L54" s="118">
        <f t="shared" si="314"/>
        <v>249</v>
      </c>
      <c r="M54" s="119">
        <f t="shared" si="94"/>
        <v>1</v>
      </c>
      <c r="N54" s="118">
        <f t="shared" si="315"/>
        <v>249</v>
      </c>
      <c r="O54" s="119">
        <f t="shared" si="316"/>
        <v>170.59999999999991</v>
      </c>
      <c r="P54" s="120">
        <v>13608</v>
      </c>
      <c r="Q54" s="119">
        <f t="shared" si="317"/>
        <v>13293.3</v>
      </c>
      <c r="R54" s="118">
        <f t="shared" si="318"/>
        <v>314.70000000000073</v>
      </c>
      <c r="S54" s="119">
        <f t="shared" si="99"/>
        <v>1</v>
      </c>
      <c r="T54" s="118">
        <f t="shared" si="319"/>
        <v>314.70000000000073</v>
      </c>
      <c r="U54" s="118">
        <v>0.4</v>
      </c>
      <c r="V54" s="118">
        <v>0.99</v>
      </c>
      <c r="W54" s="25"/>
    </row>
    <row r="55" spans="1:23" ht="15.75" x14ac:dyDescent="0.25">
      <c r="A55" s="120">
        <v>46</v>
      </c>
      <c r="B55" s="116" t="s">
        <v>305</v>
      </c>
      <c r="C55" s="118" t="s">
        <v>201</v>
      </c>
      <c r="D55" s="118" t="s">
        <v>124</v>
      </c>
      <c r="E55" s="120">
        <v>2528.3000000000002</v>
      </c>
      <c r="F55" s="119">
        <f t="shared" ref="F55" si="320">E54</f>
        <v>2439.9</v>
      </c>
      <c r="G55" s="118">
        <f t="shared" ref="G55" si="321">E55-F55</f>
        <v>88.400000000000091</v>
      </c>
      <c r="H55" s="91">
        <f t="shared" si="90"/>
        <v>1</v>
      </c>
      <c r="I55" s="118">
        <f t="shared" ref="I55" si="322">G55*H55</f>
        <v>88.400000000000091</v>
      </c>
      <c r="J55" s="120">
        <v>11569.5</v>
      </c>
      <c r="K55" s="119">
        <f t="shared" ref="K55" si="323">J54</f>
        <v>11323.4</v>
      </c>
      <c r="L55" s="118">
        <f t="shared" ref="L55" si="324">J55-K55</f>
        <v>246.10000000000036</v>
      </c>
      <c r="M55" s="119">
        <f t="shared" si="94"/>
        <v>1</v>
      </c>
      <c r="N55" s="118">
        <f t="shared" ref="N55" si="325">L55*M55</f>
        <v>246.10000000000036</v>
      </c>
      <c r="O55" s="119">
        <f t="shared" ref="O55" si="326">N55-I55</f>
        <v>157.70000000000027</v>
      </c>
      <c r="P55" s="120">
        <v>13930.7</v>
      </c>
      <c r="Q55" s="119">
        <f t="shared" ref="Q55" si="327">P54</f>
        <v>13608</v>
      </c>
      <c r="R55" s="118">
        <f t="shared" ref="R55" si="328">P55-Q55</f>
        <v>322.70000000000073</v>
      </c>
      <c r="S55" s="119">
        <f t="shared" si="99"/>
        <v>1</v>
      </c>
      <c r="T55" s="118">
        <f t="shared" ref="T55" si="329">R55*S55</f>
        <v>322.70000000000073</v>
      </c>
      <c r="U55" s="118">
        <v>0.71</v>
      </c>
      <c r="V55" s="118">
        <v>0.98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201</v>
      </c>
      <c r="D57" s="123" t="s">
        <v>124</v>
      </c>
      <c r="E57" s="126">
        <v>2613.6999999999998</v>
      </c>
      <c r="F57" s="127">
        <f t="shared" ref="F57" si="330">E55</f>
        <v>2528.3000000000002</v>
      </c>
      <c r="G57" s="129">
        <f t="shared" ref="G57" si="331">E57-F57</f>
        <v>85.399999999999636</v>
      </c>
      <c r="H57" s="91">
        <f>H55</f>
        <v>1</v>
      </c>
      <c r="I57" s="129">
        <f t="shared" ref="I57" si="332">G57*H57</f>
        <v>85.399999999999636</v>
      </c>
      <c r="J57" s="126">
        <v>11813.8</v>
      </c>
      <c r="K57" s="127">
        <f t="shared" ref="K57" si="333">J55</f>
        <v>11569.5</v>
      </c>
      <c r="L57" s="129">
        <f t="shared" ref="L57" si="334">J57-K57</f>
        <v>244.29999999999927</v>
      </c>
      <c r="M57" s="127">
        <f>M55</f>
        <v>1</v>
      </c>
      <c r="N57" s="129">
        <f t="shared" ref="N57" si="335">L57*M57</f>
        <v>244.29999999999927</v>
      </c>
      <c r="O57" s="127">
        <f t="shared" ref="O57" si="336">N57-I57</f>
        <v>158.89999999999964</v>
      </c>
      <c r="P57" s="126">
        <v>14231.4</v>
      </c>
      <c r="Q57" s="127">
        <f t="shared" ref="Q57" si="337">P55</f>
        <v>13930.7</v>
      </c>
      <c r="R57" s="129">
        <f t="shared" ref="R57" si="338">P57-Q57</f>
        <v>300.69999999999891</v>
      </c>
      <c r="S57" s="127">
        <f>S55</f>
        <v>1</v>
      </c>
      <c r="T57" s="129">
        <f t="shared" ref="T57" si="339">R57*S57</f>
        <v>300.69999999999891</v>
      </c>
      <c r="U57" s="129">
        <v>0.47</v>
      </c>
      <c r="V57" s="129">
        <v>0.99</v>
      </c>
      <c r="W57" s="25"/>
    </row>
    <row r="58" spans="1:23" ht="15.75" x14ac:dyDescent="0.25">
      <c r="A58" s="135">
        <v>48</v>
      </c>
      <c r="B58" s="116" t="s">
        <v>307</v>
      </c>
      <c r="C58" s="138" t="s">
        <v>201</v>
      </c>
      <c r="D58" s="138" t="s">
        <v>124</v>
      </c>
      <c r="E58" s="135">
        <v>2703</v>
      </c>
      <c r="F58" s="136">
        <f t="shared" ref="F58" si="340">E57</f>
        <v>2613.6999999999998</v>
      </c>
      <c r="G58" s="138">
        <f t="shared" ref="G58" si="341">E58-F58</f>
        <v>89.300000000000182</v>
      </c>
      <c r="H58" s="91">
        <f t="shared" si="90"/>
        <v>1</v>
      </c>
      <c r="I58" s="138">
        <f t="shared" ref="I58" si="342">G58*H58</f>
        <v>89.300000000000182</v>
      </c>
      <c r="J58" s="135">
        <v>12053</v>
      </c>
      <c r="K58" s="136">
        <f t="shared" ref="K58" si="343">J57</f>
        <v>11813.8</v>
      </c>
      <c r="L58" s="138">
        <f t="shared" ref="L58" si="344">J58-K58</f>
        <v>239.20000000000073</v>
      </c>
      <c r="M58" s="136">
        <f t="shared" si="94"/>
        <v>1</v>
      </c>
      <c r="N58" s="138">
        <f t="shared" ref="N58" si="345">L58*M58</f>
        <v>239.20000000000073</v>
      </c>
      <c r="O58" s="136">
        <f t="shared" ref="O58" si="346">N58-I58</f>
        <v>149.90000000000055</v>
      </c>
      <c r="P58" s="135">
        <v>14532.3</v>
      </c>
      <c r="Q58" s="136">
        <f t="shared" ref="Q58" si="347">P57</f>
        <v>14231.4</v>
      </c>
      <c r="R58" s="138">
        <f t="shared" ref="R58" si="348">P58-Q58</f>
        <v>300.89999999999964</v>
      </c>
      <c r="S58" s="136">
        <f t="shared" si="99"/>
        <v>1</v>
      </c>
      <c r="T58" s="138">
        <f t="shared" ref="T58" si="349">R58*S58</f>
        <v>300.89999999999964</v>
      </c>
      <c r="U58" s="138">
        <v>0.63</v>
      </c>
      <c r="V58" s="138">
        <v>0.82</v>
      </c>
      <c r="W58" s="25"/>
    </row>
    <row r="59" spans="1:23" ht="15.75" x14ac:dyDescent="0.25">
      <c r="A59" s="135">
        <v>49</v>
      </c>
      <c r="B59" s="116" t="s">
        <v>309</v>
      </c>
      <c r="C59" s="138" t="s">
        <v>201</v>
      </c>
      <c r="D59" s="138" t="s">
        <v>124</v>
      </c>
      <c r="E59" s="135">
        <v>2788.5</v>
      </c>
      <c r="F59" s="136">
        <f t="shared" ref="F59" si="350">E58</f>
        <v>2703</v>
      </c>
      <c r="G59" s="138">
        <f t="shared" ref="G59:G61" si="351">E59-F59</f>
        <v>85.5</v>
      </c>
      <c r="H59" s="91">
        <f t="shared" si="90"/>
        <v>1</v>
      </c>
      <c r="I59" s="138">
        <f t="shared" ref="I59:I61" si="352">G59*H59</f>
        <v>85.5</v>
      </c>
      <c r="J59" s="135">
        <v>12260.3</v>
      </c>
      <c r="K59" s="136">
        <f t="shared" ref="K59" si="353">J58</f>
        <v>12053</v>
      </c>
      <c r="L59" s="138">
        <f t="shared" ref="L59:L61" si="354">J59-K59</f>
        <v>207.29999999999927</v>
      </c>
      <c r="M59" s="136">
        <f t="shared" si="94"/>
        <v>1</v>
      </c>
      <c r="N59" s="138">
        <f t="shared" ref="N59:N61" si="355">L59*M59</f>
        <v>207.29999999999927</v>
      </c>
      <c r="O59" s="136">
        <f t="shared" ref="O59:O61" si="356">N59-I59</f>
        <v>121.79999999999927</v>
      </c>
      <c r="P59" s="135">
        <v>14800.7</v>
      </c>
      <c r="Q59" s="136">
        <f t="shared" ref="Q59" si="357">P58</f>
        <v>14532.3</v>
      </c>
      <c r="R59" s="138">
        <f t="shared" ref="R59:R61" si="358">P59-Q59</f>
        <v>268.40000000000146</v>
      </c>
      <c r="S59" s="136">
        <f t="shared" si="99"/>
        <v>1</v>
      </c>
      <c r="T59" s="138">
        <f t="shared" ref="T59:T61" si="359">R59*S59</f>
        <v>268.40000000000146</v>
      </c>
      <c r="U59" s="138">
        <v>0.98</v>
      </c>
      <c r="V59" s="138">
        <v>0.99</v>
      </c>
      <c r="W59" s="25"/>
    </row>
    <row r="60" spans="1:23" ht="15.75" x14ac:dyDescent="0.25">
      <c r="A60" s="146">
        <v>50</v>
      </c>
      <c r="B60" s="116" t="s">
        <v>310</v>
      </c>
      <c r="C60" s="144" t="s">
        <v>201</v>
      </c>
      <c r="D60" s="144" t="s">
        <v>124</v>
      </c>
      <c r="E60" s="146">
        <v>2881.8</v>
      </c>
      <c r="F60" s="145">
        <f t="shared" ref="F60" si="360">E58</f>
        <v>2703</v>
      </c>
      <c r="G60" s="144">
        <f t="shared" si="351"/>
        <v>178.80000000000018</v>
      </c>
      <c r="H60" s="91">
        <f>H58</f>
        <v>1</v>
      </c>
      <c r="I60" s="144">
        <f t="shared" si="352"/>
        <v>178.80000000000018</v>
      </c>
      <c r="J60" s="146">
        <v>12406.9</v>
      </c>
      <c r="K60" s="145">
        <f t="shared" ref="K60" si="361">J58</f>
        <v>12053</v>
      </c>
      <c r="L60" s="144">
        <f t="shared" si="354"/>
        <v>353.89999999999964</v>
      </c>
      <c r="M60" s="145">
        <f>M58</f>
        <v>1</v>
      </c>
      <c r="N60" s="144">
        <f t="shared" si="355"/>
        <v>353.89999999999964</v>
      </c>
      <c r="O60" s="145">
        <f t="shared" si="356"/>
        <v>175.09999999999945</v>
      </c>
      <c r="P60" s="146">
        <v>15013.1</v>
      </c>
      <c r="Q60" s="145">
        <f t="shared" ref="Q60" si="362">P58</f>
        <v>14532.3</v>
      </c>
      <c r="R60" s="144">
        <f t="shared" si="358"/>
        <v>480.80000000000109</v>
      </c>
      <c r="S60" s="145">
        <f>S58</f>
        <v>1</v>
      </c>
      <c r="T60" s="144">
        <f t="shared" si="359"/>
        <v>480.80000000000109</v>
      </c>
      <c r="U60" s="144">
        <v>0.9</v>
      </c>
      <c r="V60" s="144">
        <v>0.78</v>
      </c>
      <c r="W60" s="25"/>
    </row>
    <row r="61" spans="1:23" ht="15.75" x14ac:dyDescent="0.25">
      <c r="A61" s="151">
        <v>51</v>
      </c>
      <c r="B61" s="116" t="s">
        <v>316</v>
      </c>
      <c r="C61" s="149" t="s">
        <v>201</v>
      </c>
      <c r="D61" s="149" t="s">
        <v>124</v>
      </c>
      <c r="E61" s="151">
        <v>2971.1</v>
      </c>
      <c r="F61" s="150">
        <v>2881.8</v>
      </c>
      <c r="G61" s="149">
        <f t="shared" si="351"/>
        <v>89.299999999999727</v>
      </c>
      <c r="H61" s="91">
        <f>H58</f>
        <v>1</v>
      </c>
      <c r="I61" s="149">
        <f t="shared" si="352"/>
        <v>89.299999999999727</v>
      </c>
      <c r="J61" s="151">
        <v>12625.8</v>
      </c>
      <c r="K61" s="150">
        <v>12406.9</v>
      </c>
      <c r="L61" s="149">
        <f t="shared" si="354"/>
        <v>218.89999999999964</v>
      </c>
      <c r="M61" s="150">
        <f>M58</f>
        <v>1</v>
      </c>
      <c r="N61" s="149">
        <f t="shared" si="355"/>
        <v>218.89999999999964</v>
      </c>
      <c r="O61" s="150">
        <f t="shared" si="356"/>
        <v>129.59999999999991</v>
      </c>
      <c r="P61" s="151">
        <v>15305.4</v>
      </c>
      <c r="Q61" s="150">
        <v>15013</v>
      </c>
      <c r="R61" s="149">
        <f t="shared" si="358"/>
        <v>292.39999999999964</v>
      </c>
      <c r="S61" s="150">
        <f>S58</f>
        <v>1</v>
      </c>
      <c r="T61" s="149">
        <f t="shared" si="359"/>
        <v>292.39999999999964</v>
      </c>
      <c r="U61" s="149">
        <v>0.9</v>
      </c>
      <c r="V61" s="149">
        <v>0.78</v>
      </c>
      <c r="W61" s="25"/>
    </row>
    <row r="62" spans="1:23" ht="15.75" x14ac:dyDescent="0.25">
      <c r="A62" s="139">
        <v>52</v>
      </c>
      <c r="B62" s="116" t="s">
        <v>319</v>
      </c>
      <c r="C62" s="142" t="s">
        <v>201</v>
      </c>
      <c r="D62" s="142" t="s">
        <v>124</v>
      </c>
      <c r="E62" s="139">
        <v>3076.5</v>
      </c>
      <c r="F62" s="140">
        <v>2971.1</v>
      </c>
      <c r="G62" s="142">
        <f t="shared" ref="G62:G64" si="363">E62-F62</f>
        <v>105.40000000000009</v>
      </c>
      <c r="H62" s="91">
        <f>H59</f>
        <v>1</v>
      </c>
      <c r="I62" s="142">
        <f t="shared" ref="I62:I64" si="364">G62*H62</f>
        <v>105.40000000000009</v>
      </c>
      <c r="J62" s="139">
        <v>12743.6</v>
      </c>
      <c r="K62" s="140">
        <v>12625.8</v>
      </c>
      <c r="L62" s="142">
        <f t="shared" ref="L62:L64" si="365">J62-K62</f>
        <v>117.80000000000109</v>
      </c>
      <c r="M62" s="140">
        <f>M59</f>
        <v>1</v>
      </c>
      <c r="N62" s="142">
        <f t="shared" ref="N62:N64" si="366">L62*M62</f>
        <v>117.80000000000109</v>
      </c>
      <c r="O62" s="140">
        <f t="shared" ref="O62:O64" si="367">N62-I62</f>
        <v>12.400000000001</v>
      </c>
      <c r="P62" s="139">
        <v>15475.7</v>
      </c>
      <c r="Q62" s="140">
        <v>15305</v>
      </c>
      <c r="R62" s="142">
        <f t="shared" ref="R62:R64" si="368">P62-Q62</f>
        <v>170.70000000000073</v>
      </c>
      <c r="S62" s="140">
        <f>S59</f>
        <v>1</v>
      </c>
      <c r="T62" s="142">
        <f t="shared" ref="T62:T64" si="369">R62*S62</f>
        <v>170.70000000000073</v>
      </c>
      <c r="U62" s="142">
        <v>0.37</v>
      </c>
      <c r="V62" s="142">
        <v>0.99</v>
      </c>
      <c r="W62" s="25"/>
    </row>
    <row r="63" spans="1:23" ht="15.75" x14ac:dyDescent="0.25">
      <c r="A63" s="170">
        <v>53</v>
      </c>
      <c r="B63" s="116" t="s">
        <v>321</v>
      </c>
      <c r="C63" s="168" t="s">
        <v>201</v>
      </c>
      <c r="D63" s="168" t="s">
        <v>124</v>
      </c>
      <c r="E63" s="170">
        <v>3169</v>
      </c>
      <c r="F63" s="170">
        <v>3076.5</v>
      </c>
      <c r="G63" s="168">
        <f t="shared" si="363"/>
        <v>92.5</v>
      </c>
      <c r="H63" s="91">
        <f>H59</f>
        <v>1</v>
      </c>
      <c r="I63" s="168">
        <f t="shared" si="364"/>
        <v>92.5</v>
      </c>
      <c r="J63" s="170">
        <v>12973.3</v>
      </c>
      <c r="K63" s="170">
        <v>12743.6</v>
      </c>
      <c r="L63" s="168">
        <f t="shared" si="365"/>
        <v>229.69999999999891</v>
      </c>
      <c r="M63" s="169">
        <f>M59</f>
        <v>1</v>
      </c>
      <c r="N63" s="168">
        <f t="shared" si="366"/>
        <v>229.69999999999891</v>
      </c>
      <c r="O63" s="169">
        <f t="shared" si="367"/>
        <v>137.19999999999891</v>
      </c>
      <c r="P63" s="170">
        <v>15761.3</v>
      </c>
      <c r="Q63" s="170">
        <v>15475.7</v>
      </c>
      <c r="R63" s="168">
        <f t="shared" si="368"/>
        <v>285.59999999999854</v>
      </c>
      <c r="S63" s="169">
        <f>S59</f>
        <v>1</v>
      </c>
      <c r="T63" s="168">
        <f t="shared" si="369"/>
        <v>285.59999999999854</v>
      </c>
      <c r="U63" s="168">
        <v>0.63</v>
      </c>
      <c r="V63" s="168">
        <v>0.99</v>
      </c>
      <c r="W63" s="25"/>
    </row>
    <row r="64" spans="1:23" ht="15.75" x14ac:dyDescent="0.25">
      <c r="A64" s="175">
        <v>54</v>
      </c>
      <c r="B64" s="116" t="s">
        <v>327</v>
      </c>
      <c r="C64" s="178" t="s">
        <v>201</v>
      </c>
      <c r="D64" s="178" t="s">
        <v>124</v>
      </c>
      <c r="E64" s="175">
        <v>3260</v>
      </c>
      <c r="F64" s="175">
        <v>3169</v>
      </c>
      <c r="G64" s="178">
        <f t="shared" si="363"/>
        <v>91</v>
      </c>
      <c r="H64" s="91">
        <f>H59</f>
        <v>1</v>
      </c>
      <c r="I64" s="178">
        <f t="shared" si="364"/>
        <v>91</v>
      </c>
      <c r="J64" s="175">
        <v>13175.7</v>
      </c>
      <c r="K64" s="175">
        <v>12973.3</v>
      </c>
      <c r="L64" s="178">
        <f t="shared" si="365"/>
        <v>202.40000000000146</v>
      </c>
      <c r="M64" s="176">
        <f>M59</f>
        <v>1</v>
      </c>
      <c r="N64" s="178">
        <f t="shared" si="366"/>
        <v>202.40000000000146</v>
      </c>
      <c r="O64" s="176">
        <f t="shared" si="367"/>
        <v>111.40000000000146</v>
      </c>
      <c r="P64" s="175">
        <v>16011.9</v>
      </c>
      <c r="Q64" s="175">
        <v>15761</v>
      </c>
      <c r="R64" s="178">
        <f t="shared" si="368"/>
        <v>250.89999999999964</v>
      </c>
      <c r="S64" s="176">
        <f>S59</f>
        <v>1</v>
      </c>
      <c r="T64" s="178">
        <f t="shared" si="369"/>
        <v>250.89999999999964</v>
      </c>
      <c r="U64" s="178">
        <v>0.63</v>
      </c>
      <c r="V64" s="178">
        <v>0.95</v>
      </c>
      <c r="W64" s="25"/>
    </row>
    <row r="65" spans="1:23" ht="15.75" x14ac:dyDescent="0.25">
      <c r="A65" s="155">
        <v>55</v>
      </c>
      <c r="B65" s="116" t="s">
        <v>330</v>
      </c>
      <c r="C65" s="158" t="s">
        <v>201</v>
      </c>
      <c r="D65" s="158" t="s">
        <v>124</v>
      </c>
      <c r="E65" s="155">
        <v>3353.6</v>
      </c>
      <c r="F65" s="155">
        <v>3169</v>
      </c>
      <c r="G65" s="158">
        <f t="shared" ref="G65:G66" si="370">E65-F65</f>
        <v>184.59999999999991</v>
      </c>
      <c r="H65" s="91">
        <f>H60</f>
        <v>1</v>
      </c>
      <c r="I65" s="158">
        <f t="shared" ref="I65:I66" si="371">G65*H65</f>
        <v>184.59999999999991</v>
      </c>
      <c r="J65" s="155">
        <v>13354.9</v>
      </c>
      <c r="K65" s="155">
        <v>12973.3</v>
      </c>
      <c r="L65" s="158">
        <f t="shared" ref="L65:L66" si="372">J65-K65</f>
        <v>381.60000000000036</v>
      </c>
      <c r="M65" s="156">
        <f>M60</f>
        <v>1</v>
      </c>
      <c r="N65" s="158">
        <f t="shared" ref="N65:N66" si="373">L65*M65</f>
        <v>381.60000000000036</v>
      </c>
      <c r="O65" s="156">
        <f t="shared" ref="O65:O66" si="374">N65-I65</f>
        <v>197.00000000000045</v>
      </c>
      <c r="P65" s="155">
        <v>16253</v>
      </c>
      <c r="Q65" s="155">
        <v>15761</v>
      </c>
      <c r="R65" s="158">
        <f t="shared" ref="R65:R66" si="375">P65-Q65</f>
        <v>492</v>
      </c>
      <c r="S65" s="156">
        <f>S60</f>
        <v>1</v>
      </c>
      <c r="T65" s="158">
        <f t="shared" ref="T65:T66" si="376">R65*S65</f>
        <v>492</v>
      </c>
      <c r="U65" s="158">
        <v>0.41</v>
      </c>
      <c r="V65" s="158">
        <v>0.95</v>
      </c>
      <c r="W65" s="25"/>
    </row>
    <row r="66" spans="1:23" ht="15.75" x14ac:dyDescent="0.25">
      <c r="A66" s="183">
        <v>56</v>
      </c>
      <c r="B66" s="116" t="s">
        <v>331</v>
      </c>
      <c r="C66" s="186" t="s">
        <v>201</v>
      </c>
      <c r="D66" s="186" t="s">
        <v>124</v>
      </c>
      <c r="E66" s="183">
        <v>3445.7</v>
      </c>
      <c r="F66" s="183">
        <v>3353.6</v>
      </c>
      <c r="G66" s="186">
        <f t="shared" si="370"/>
        <v>92.099999999999909</v>
      </c>
      <c r="H66" s="91">
        <f>H60</f>
        <v>1</v>
      </c>
      <c r="I66" s="186">
        <f t="shared" si="371"/>
        <v>92.099999999999909</v>
      </c>
      <c r="J66" s="183">
        <v>13554.4</v>
      </c>
      <c r="K66" s="183">
        <v>13354.9</v>
      </c>
      <c r="L66" s="186">
        <f t="shared" si="372"/>
        <v>199.5</v>
      </c>
      <c r="M66" s="184">
        <f>M60</f>
        <v>1</v>
      </c>
      <c r="N66" s="186">
        <f t="shared" si="373"/>
        <v>199.5</v>
      </c>
      <c r="O66" s="184">
        <f t="shared" si="374"/>
        <v>107.40000000000009</v>
      </c>
      <c r="P66" s="183">
        <v>16512.099999999999</v>
      </c>
      <c r="Q66" s="183">
        <v>16253</v>
      </c>
      <c r="R66" s="186">
        <f t="shared" si="375"/>
        <v>259.09999999999854</v>
      </c>
      <c r="S66" s="184">
        <f>S60</f>
        <v>1</v>
      </c>
      <c r="T66" s="186">
        <f t="shared" si="376"/>
        <v>259.09999999999854</v>
      </c>
      <c r="U66" s="186">
        <v>0.24</v>
      </c>
      <c r="V66" s="186">
        <v>0.98</v>
      </c>
      <c r="W66" s="25"/>
    </row>
    <row r="67" spans="1:23" ht="15.75" x14ac:dyDescent="0.25">
      <c r="A67" s="182">
        <v>57</v>
      </c>
      <c r="B67" s="116" t="s">
        <v>332</v>
      </c>
      <c r="C67" s="180" t="s">
        <v>201</v>
      </c>
      <c r="D67" s="180" t="s">
        <v>124</v>
      </c>
      <c r="E67" s="182">
        <v>3531.6</v>
      </c>
      <c r="F67" s="182">
        <v>3445.7</v>
      </c>
      <c r="G67" s="180">
        <f t="shared" ref="G67" si="377">E67-F67</f>
        <v>85.900000000000091</v>
      </c>
      <c r="H67" s="91">
        <f>H61</f>
        <v>1</v>
      </c>
      <c r="I67" s="180">
        <f t="shared" ref="I67" si="378">G67*H67</f>
        <v>85.900000000000091</v>
      </c>
      <c r="J67" s="182">
        <v>13773.7</v>
      </c>
      <c r="K67" s="182">
        <v>13554.4</v>
      </c>
      <c r="L67" s="180">
        <f t="shared" ref="L67" si="379">J67-K67</f>
        <v>219.30000000000109</v>
      </c>
      <c r="M67" s="181">
        <f>M61</f>
        <v>1</v>
      </c>
      <c r="N67" s="180">
        <f t="shared" ref="N67" si="380">L67*M67</f>
        <v>219.30000000000109</v>
      </c>
      <c r="O67" s="181">
        <f t="shared" ref="O67" si="381">N67-I67</f>
        <v>133.400000000001</v>
      </c>
      <c r="P67" s="182">
        <v>16799.8</v>
      </c>
      <c r="Q67" s="182">
        <v>16512</v>
      </c>
      <c r="R67" s="180">
        <f t="shared" ref="R67" si="382">P67-Q67</f>
        <v>287.79999999999927</v>
      </c>
      <c r="S67" s="181">
        <f>S61</f>
        <v>1</v>
      </c>
      <c r="T67" s="180">
        <f t="shared" ref="T67" si="383">R67*S67</f>
        <v>287.79999999999927</v>
      </c>
      <c r="U67" s="180">
        <v>0.26</v>
      </c>
      <c r="V67" s="180">
        <v>0.98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4"/>
      <c r="H68" s="22" t="s">
        <v>121</v>
      </c>
      <c r="I68" s="164">
        <f>SUM(I57:I65)</f>
        <v>1001.7999999999997</v>
      </c>
      <c r="J68" s="164"/>
      <c r="K68" s="162"/>
      <c r="L68" s="164"/>
      <c r="M68" s="162"/>
      <c r="N68" s="164">
        <f>SUM(N57:N65)</f>
        <v>2195.1000000000004</v>
      </c>
      <c r="O68" s="164">
        <f>SUM(O57:O65)</f>
        <v>1193.3000000000006</v>
      </c>
      <c r="P68" s="164"/>
      <c r="Q68" s="162"/>
      <c r="R68" s="164"/>
      <c r="S68" s="162"/>
      <c r="T68" s="164">
        <f>SUM(T57:T65)</f>
        <v>2842.3999999999996</v>
      </c>
      <c r="U68" s="164"/>
      <c r="V68" s="164"/>
      <c r="W68" s="31"/>
    </row>
    <row r="69" spans="1:23" ht="15.75" x14ac:dyDescent="0.25">
      <c r="A69" s="31">
        <v>1</v>
      </c>
      <c r="B69" s="31" t="s">
        <v>23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37"/>
      <c r="Q69" s="38"/>
      <c r="R69" s="24"/>
      <c r="S69" s="38"/>
      <c r="T69" s="24"/>
      <c r="U69" s="25"/>
      <c r="V69" s="25"/>
      <c r="W69" s="25"/>
    </row>
    <row r="70" spans="1:23" ht="15.75" x14ac:dyDescent="0.25">
      <c r="A70" s="31">
        <v>2</v>
      </c>
      <c r="B70" s="31" t="s">
        <v>24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37"/>
      <c r="Q70" s="38"/>
      <c r="R70" s="24"/>
      <c r="S70" s="38"/>
      <c r="T70" s="24"/>
      <c r="U70" s="25"/>
      <c r="V70" s="25"/>
      <c r="W70" s="25"/>
    </row>
    <row r="71" spans="1:23" ht="15.75" x14ac:dyDescent="0.25">
      <c r="A71" s="31">
        <v>3</v>
      </c>
      <c r="B71" s="31" t="s">
        <v>25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37"/>
      <c r="Q71" s="38"/>
      <c r="R71" s="24"/>
      <c r="S71" s="38"/>
      <c r="T71" s="24"/>
      <c r="U71" s="25"/>
      <c r="V71" s="25"/>
      <c r="W71" s="25"/>
    </row>
    <row r="74" spans="1:23" x14ac:dyDescent="0.25">
      <c r="R74" t="s">
        <v>65</v>
      </c>
    </row>
  </sheetData>
  <mergeCells count="20">
    <mergeCell ref="J5:N5"/>
    <mergeCell ref="O5:O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75"/>
  <sheetViews>
    <sheetView view="pageBreakPreview" topLeftCell="A46" zoomScale="85" zoomScaleNormal="85" zoomScaleSheetLayoutView="85" workbookViewId="0">
      <selection activeCell="U69" sqref="U69"/>
    </sheetView>
  </sheetViews>
  <sheetFormatPr defaultRowHeight="15" x14ac:dyDescent="0.25"/>
  <cols>
    <col min="1" max="1" width="7.5703125" customWidth="1"/>
    <col min="2" max="2" width="13" customWidth="1"/>
    <col min="3" max="3" width="15.570312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130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129</v>
      </c>
      <c r="C3" s="207"/>
      <c r="D3" s="12" t="s">
        <v>6</v>
      </c>
      <c r="E3" s="201" t="s">
        <v>133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143</v>
      </c>
      <c r="W3" s="25"/>
    </row>
    <row r="4" spans="1:23" ht="35.25" customHeight="1" x14ac:dyDescent="0.25">
      <c r="A4" s="12" t="s">
        <v>0</v>
      </c>
      <c r="B4" s="216" t="s">
        <v>134</v>
      </c>
      <c r="C4" s="216"/>
      <c r="D4" s="12" t="s">
        <v>9</v>
      </c>
      <c r="E4" s="201" t="s">
        <v>145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 t="s">
        <v>146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122</v>
      </c>
      <c r="D7" s="19" t="s">
        <v>124</v>
      </c>
      <c r="E7" s="17">
        <v>85.4</v>
      </c>
      <c r="F7" s="17">
        <v>0.1</v>
      </c>
      <c r="G7" s="19">
        <f t="shared" ref="G7" si="0">E7-F7</f>
        <v>85.300000000000011</v>
      </c>
      <c r="H7" s="17">
        <v>1</v>
      </c>
      <c r="I7" s="19">
        <f t="shared" ref="I7" si="1">G7*H7</f>
        <v>85.300000000000011</v>
      </c>
      <c r="J7" s="17">
        <v>195.2</v>
      </c>
      <c r="K7" s="17">
        <v>3.3</v>
      </c>
      <c r="L7" s="19">
        <f t="shared" ref="L7" si="2">J7-K7</f>
        <v>191.89999999999998</v>
      </c>
      <c r="M7" s="17">
        <v>1</v>
      </c>
      <c r="N7" s="19">
        <f t="shared" ref="N7" si="3">L7*M7</f>
        <v>191.89999999999998</v>
      </c>
      <c r="O7" s="17">
        <f>N7-I7</f>
        <v>106.59999999999997</v>
      </c>
      <c r="P7" s="17">
        <v>1593.02</v>
      </c>
      <c r="Q7" s="17">
        <v>1320.4</v>
      </c>
      <c r="R7" s="19">
        <f t="shared" ref="R7" si="4">P7-Q7</f>
        <v>272.61999999999989</v>
      </c>
      <c r="S7" s="17">
        <v>1</v>
      </c>
      <c r="T7" s="19">
        <f t="shared" ref="T7" si="5">R7*S7</f>
        <v>272.61999999999989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122</v>
      </c>
      <c r="D8" s="19" t="s">
        <v>124</v>
      </c>
      <c r="E8" s="17">
        <v>171.8</v>
      </c>
      <c r="F8" s="17">
        <f t="shared" ref="F8:F13" si="6">E7</f>
        <v>85.4</v>
      </c>
      <c r="G8" s="19">
        <f t="shared" ref="G8" si="7">E8-F8</f>
        <v>86.4</v>
      </c>
      <c r="H8" s="17">
        <f t="shared" ref="H8:H16" si="8">H7</f>
        <v>1</v>
      </c>
      <c r="I8" s="19">
        <f t="shared" ref="I8" si="9">G8*H8</f>
        <v>86.4</v>
      </c>
      <c r="J8" s="17">
        <v>402.6</v>
      </c>
      <c r="K8" s="17">
        <f t="shared" ref="K8:K13" si="10">J7</f>
        <v>195.2</v>
      </c>
      <c r="L8" s="19">
        <f t="shared" ref="L8" si="11">J8-K8</f>
        <v>207.40000000000003</v>
      </c>
      <c r="M8" s="17">
        <f t="shared" ref="M8:M16" si="12">M7</f>
        <v>1</v>
      </c>
      <c r="N8" s="19">
        <f t="shared" ref="N8" si="13">L8*M8</f>
        <v>207.40000000000003</v>
      </c>
      <c r="O8" s="17">
        <f>N8-I8</f>
        <v>121.00000000000003</v>
      </c>
      <c r="P8" s="17">
        <v>1871</v>
      </c>
      <c r="Q8" s="17">
        <f t="shared" ref="Q8:Q13" si="14">P7</f>
        <v>1593.02</v>
      </c>
      <c r="R8" s="19">
        <f t="shared" ref="R8" si="15">P8-Q8</f>
        <v>277.98</v>
      </c>
      <c r="S8" s="17">
        <f t="shared" ref="S8:S16" si="16">S7</f>
        <v>1</v>
      </c>
      <c r="T8" s="19">
        <f t="shared" ref="T8" si="17">R8*S8</f>
        <v>277.98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122</v>
      </c>
      <c r="D9" s="19" t="s">
        <v>124</v>
      </c>
      <c r="E9" s="17">
        <v>267</v>
      </c>
      <c r="F9" s="17">
        <f t="shared" si="6"/>
        <v>171.8</v>
      </c>
      <c r="G9" s="19">
        <f t="shared" ref="G9" si="18">E9-F9</f>
        <v>95.199999999999989</v>
      </c>
      <c r="H9" s="17">
        <f t="shared" si="8"/>
        <v>1</v>
      </c>
      <c r="I9" s="19">
        <f t="shared" ref="I9" si="19">G9*H9</f>
        <v>95.199999999999989</v>
      </c>
      <c r="J9" s="17">
        <v>568</v>
      </c>
      <c r="K9" s="17">
        <f t="shared" si="10"/>
        <v>402.6</v>
      </c>
      <c r="L9" s="19">
        <f t="shared" ref="L9" si="20">J9-K9</f>
        <v>165.39999999999998</v>
      </c>
      <c r="M9" s="17">
        <f t="shared" si="12"/>
        <v>1</v>
      </c>
      <c r="N9" s="19">
        <f t="shared" ref="N9" si="21">L9*M9</f>
        <v>165.39999999999998</v>
      </c>
      <c r="O9" s="12">
        <f t="shared" ref="O9:O16" si="22">SUM(O7)</f>
        <v>106.59999999999997</v>
      </c>
      <c r="P9" s="17">
        <v>2103</v>
      </c>
      <c r="Q9" s="17">
        <f t="shared" si="14"/>
        <v>1871</v>
      </c>
      <c r="R9" s="19">
        <f t="shared" ref="R9" si="23">P9-Q9</f>
        <v>232</v>
      </c>
      <c r="S9" s="17">
        <f t="shared" si="16"/>
        <v>1</v>
      </c>
      <c r="T9" s="19">
        <f t="shared" ref="T9" si="24">R9*S9</f>
        <v>232</v>
      </c>
      <c r="U9" s="17">
        <v>0.64</v>
      </c>
      <c r="V9" s="17">
        <v>0.99</v>
      </c>
      <c r="W9" s="25"/>
    </row>
    <row r="10" spans="1:23" ht="15.75" x14ac:dyDescent="0.25">
      <c r="A10" s="12">
        <v>4</v>
      </c>
      <c r="B10" s="22" t="s">
        <v>244</v>
      </c>
      <c r="C10" s="19" t="s">
        <v>122</v>
      </c>
      <c r="D10" s="19" t="s">
        <v>124</v>
      </c>
      <c r="E10" s="17">
        <v>358.5</v>
      </c>
      <c r="F10" s="17">
        <f t="shared" si="6"/>
        <v>267</v>
      </c>
      <c r="G10" s="19">
        <f t="shared" ref="G10" si="25">E10-F10</f>
        <v>91.5</v>
      </c>
      <c r="H10" s="17">
        <f t="shared" si="8"/>
        <v>1</v>
      </c>
      <c r="I10" s="19">
        <f t="shared" ref="I10" si="26">G10*H10</f>
        <v>91.5</v>
      </c>
      <c r="J10" s="17">
        <v>786.9</v>
      </c>
      <c r="K10" s="17">
        <f t="shared" si="10"/>
        <v>568</v>
      </c>
      <c r="L10" s="19">
        <f t="shared" ref="L10" si="27">J10-K10</f>
        <v>218.89999999999998</v>
      </c>
      <c r="M10" s="17">
        <f t="shared" si="12"/>
        <v>1</v>
      </c>
      <c r="N10" s="19">
        <f t="shared" ref="N10" si="28">L10*M10</f>
        <v>218.89999999999998</v>
      </c>
      <c r="O10" s="12">
        <f t="shared" si="22"/>
        <v>121.00000000000003</v>
      </c>
      <c r="P10" s="17">
        <v>2393.1999999999998</v>
      </c>
      <c r="Q10" s="17">
        <f t="shared" si="14"/>
        <v>2103</v>
      </c>
      <c r="R10" s="19">
        <f t="shared" ref="R10" si="29">P10-Q10</f>
        <v>290.19999999999982</v>
      </c>
      <c r="S10" s="17">
        <f t="shared" si="16"/>
        <v>1</v>
      </c>
      <c r="T10" s="19">
        <f t="shared" ref="T10" si="30">R10*S10</f>
        <v>290.19999999999982</v>
      </c>
      <c r="U10" s="17">
        <v>1.77</v>
      </c>
      <c r="V10" s="17">
        <v>0.91</v>
      </c>
      <c r="W10" s="25"/>
    </row>
    <row r="11" spans="1:23" ht="15.75" x14ac:dyDescent="0.25">
      <c r="A11" s="12">
        <v>5</v>
      </c>
      <c r="B11" s="22" t="s">
        <v>245</v>
      </c>
      <c r="C11" s="19" t="s">
        <v>122</v>
      </c>
      <c r="D11" s="19" t="s">
        <v>124</v>
      </c>
      <c r="E11" s="17">
        <v>514.29999999999995</v>
      </c>
      <c r="F11" s="17">
        <f t="shared" si="6"/>
        <v>358.5</v>
      </c>
      <c r="G11" s="19">
        <f t="shared" ref="G11" si="31">E11-F11</f>
        <v>155.79999999999995</v>
      </c>
      <c r="H11" s="17">
        <f t="shared" si="8"/>
        <v>1</v>
      </c>
      <c r="I11" s="19">
        <f t="shared" ref="I11" si="32">G11*H11</f>
        <v>155.79999999999995</v>
      </c>
      <c r="J11" s="17">
        <v>786.9</v>
      </c>
      <c r="K11" s="17">
        <f t="shared" si="10"/>
        <v>786.9</v>
      </c>
      <c r="L11" s="19">
        <f t="shared" ref="L11" si="33">J11-K11</f>
        <v>0</v>
      </c>
      <c r="M11" s="17">
        <f t="shared" si="12"/>
        <v>1</v>
      </c>
      <c r="N11" s="19">
        <f t="shared" ref="N11" si="34">L11*M11</f>
        <v>0</v>
      </c>
      <c r="O11" s="12">
        <f t="shared" si="22"/>
        <v>106.59999999999997</v>
      </c>
      <c r="P11" s="17">
        <v>2417</v>
      </c>
      <c r="Q11" s="17">
        <f t="shared" si="14"/>
        <v>2393.1999999999998</v>
      </c>
      <c r="R11" s="19">
        <f t="shared" ref="R11" si="35">P11-Q11</f>
        <v>23.800000000000182</v>
      </c>
      <c r="S11" s="17">
        <f t="shared" si="16"/>
        <v>1</v>
      </c>
      <c r="T11" s="19">
        <f t="shared" ref="T11" si="36">R11*S11</f>
        <v>23.800000000000182</v>
      </c>
      <c r="U11" s="17">
        <v>1.1499999999999999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122</v>
      </c>
      <c r="D12" s="19" t="s">
        <v>124</v>
      </c>
      <c r="E12" s="12">
        <v>650.79999999999995</v>
      </c>
      <c r="F12" s="17">
        <f t="shared" si="6"/>
        <v>514.29999999999995</v>
      </c>
      <c r="G12" s="19">
        <f t="shared" ref="G12" si="37">E12-F12</f>
        <v>136.5</v>
      </c>
      <c r="H12" s="17">
        <f t="shared" si="8"/>
        <v>1</v>
      </c>
      <c r="I12" s="19">
        <f t="shared" ref="I12" si="38">G12*H12</f>
        <v>136.5</v>
      </c>
      <c r="J12" s="12">
        <v>786.9</v>
      </c>
      <c r="K12" s="17">
        <f t="shared" si="10"/>
        <v>786.9</v>
      </c>
      <c r="L12" s="19">
        <f t="shared" ref="L12" si="39">J12-K12</f>
        <v>0</v>
      </c>
      <c r="M12" s="17">
        <f t="shared" si="12"/>
        <v>1</v>
      </c>
      <c r="N12" s="19">
        <f t="shared" ref="N12" si="40">L12*M12</f>
        <v>0</v>
      </c>
      <c r="O12" s="12">
        <f t="shared" si="22"/>
        <v>121.00000000000003</v>
      </c>
      <c r="P12" s="17">
        <v>2440</v>
      </c>
      <c r="Q12" s="17">
        <f t="shared" si="14"/>
        <v>2417</v>
      </c>
      <c r="R12" s="19">
        <f t="shared" ref="R12" si="41">P12-Q12</f>
        <v>23</v>
      </c>
      <c r="S12" s="17">
        <f t="shared" si="16"/>
        <v>1</v>
      </c>
      <c r="T12" s="19">
        <f t="shared" ref="T12" si="42">R12*S12</f>
        <v>23</v>
      </c>
      <c r="U12" s="19">
        <v>1.04</v>
      </c>
      <c r="V12" s="19">
        <v>0.87</v>
      </c>
      <c r="W12" s="25"/>
    </row>
    <row r="13" spans="1:23" ht="15.75" x14ac:dyDescent="0.25">
      <c r="A13" s="12">
        <v>7</v>
      </c>
      <c r="B13" s="22" t="s">
        <v>252</v>
      </c>
      <c r="C13" s="19" t="s">
        <v>122</v>
      </c>
      <c r="D13" s="19" t="s">
        <v>124</v>
      </c>
      <c r="E13" s="12">
        <v>748.4</v>
      </c>
      <c r="F13" s="17">
        <f t="shared" si="6"/>
        <v>650.79999999999995</v>
      </c>
      <c r="G13" s="19">
        <f t="shared" ref="G13" si="43">E13-F13</f>
        <v>97.600000000000023</v>
      </c>
      <c r="H13" s="17">
        <f t="shared" si="8"/>
        <v>1</v>
      </c>
      <c r="I13" s="19">
        <f t="shared" ref="I13" si="44">G13*H13</f>
        <v>97.600000000000023</v>
      </c>
      <c r="J13" s="12">
        <v>932.4</v>
      </c>
      <c r="K13" s="17">
        <f t="shared" si="10"/>
        <v>786.9</v>
      </c>
      <c r="L13" s="19">
        <f t="shared" ref="L13" si="45">J13-K13</f>
        <v>145.5</v>
      </c>
      <c r="M13" s="17">
        <f t="shared" si="12"/>
        <v>1</v>
      </c>
      <c r="N13" s="19">
        <f t="shared" ref="N13" si="46">L13*M13</f>
        <v>145.5</v>
      </c>
      <c r="O13" s="12">
        <f t="shared" si="22"/>
        <v>106.59999999999997</v>
      </c>
      <c r="P13" s="12">
        <v>2623.8</v>
      </c>
      <c r="Q13" s="17">
        <f t="shared" si="14"/>
        <v>2440</v>
      </c>
      <c r="R13" s="19">
        <f t="shared" ref="R13" si="47">P13-Q13</f>
        <v>183.80000000000018</v>
      </c>
      <c r="S13" s="17">
        <f t="shared" si="16"/>
        <v>1</v>
      </c>
      <c r="T13" s="19">
        <f t="shared" ref="T13" si="48">R13*S13</f>
        <v>183.80000000000018</v>
      </c>
      <c r="U13" s="19">
        <v>1.66</v>
      </c>
      <c r="V13" s="19">
        <v>0.98</v>
      </c>
      <c r="W13" s="25"/>
    </row>
    <row r="14" spans="1:23" ht="15.75" x14ac:dyDescent="0.25">
      <c r="A14" s="12">
        <v>8</v>
      </c>
      <c r="B14" s="22" t="s">
        <v>253</v>
      </c>
      <c r="C14" s="19" t="s">
        <v>122</v>
      </c>
      <c r="D14" s="19" t="s">
        <v>124</v>
      </c>
      <c r="E14" s="12">
        <v>811.7</v>
      </c>
      <c r="F14" s="17">
        <f t="shared" ref="F14" si="49">E13</f>
        <v>748.4</v>
      </c>
      <c r="G14" s="19">
        <f t="shared" ref="G14" si="50">E14-F14</f>
        <v>63.300000000000068</v>
      </c>
      <c r="H14" s="17">
        <f t="shared" si="8"/>
        <v>1</v>
      </c>
      <c r="I14" s="19">
        <f t="shared" ref="I14" si="51">G14*H14</f>
        <v>63.300000000000068</v>
      </c>
      <c r="J14" s="12">
        <v>1227.5999999999999</v>
      </c>
      <c r="K14" s="17">
        <f t="shared" ref="K14" si="52">J13</f>
        <v>932.4</v>
      </c>
      <c r="L14" s="19">
        <f t="shared" ref="L14" si="53">J14-K14</f>
        <v>295.19999999999993</v>
      </c>
      <c r="M14" s="17">
        <f t="shared" si="12"/>
        <v>1</v>
      </c>
      <c r="N14" s="19">
        <f t="shared" ref="N14" si="54">L14*M14</f>
        <v>295.19999999999993</v>
      </c>
      <c r="O14" s="12">
        <f t="shared" si="22"/>
        <v>121.00000000000003</v>
      </c>
      <c r="P14" s="12">
        <v>2971.3</v>
      </c>
      <c r="Q14" s="17">
        <f t="shared" ref="Q14" si="55">P13</f>
        <v>2623.8</v>
      </c>
      <c r="R14" s="19">
        <f t="shared" ref="R14" si="56">P14-Q14</f>
        <v>347.5</v>
      </c>
      <c r="S14" s="17">
        <f t="shared" si="16"/>
        <v>1</v>
      </c>
      <c r="T14" s="19">
        <f t="shared" ref="T14" si="57">R14*S14</f>
        <v>347.5</v>
      </c>
      <c r="U14" s="19">
        <v>0.53</v>
      </c>
      <c r="V14" s="19">
        <v>0.95</v>
      </c>
      <c r="W14" s="25"/>
    </row>
    <row r="15" spans="1:23" ht="15.75" x14ac:dyDescent="0.25">
      <c r="A15" s="12">
        <v>9</v>
      </c>
      <c r="B15" s="22" t="s">
        <v>254</v>
      </c>
      <c r="C15" s="19" t="s">
        <v>122</v>
      </c>
      <c r="D15" s="19" t="s">
        <v>124</v>
      </c>
      <c r="E15" s="12">
        <v>870</v>
      </c>
      <c r="F15" s="17">
        <f t="shared" ref="F15" si="58">E14</f>
        <v>811.7</v>
      </c>
      <c r="G15" s="19">
        <f t="shared" ref="G15" si="59">E15-F15</f>
        <v>58.299999999999955</v>
      </c>
      <c r="H15" s="17">
        <f t="shared" si="8"/>
        <v>1</v>
      </c>
      <c r="I15" s="19">
        <f t="shared" ref="I15" si="60">G15*H15</f>
        <v>58.299999999999955</v>
      </c>
      <c r="J15" s="12">
        <v>1483.3</v>
      </c>
      <c r="K15" s="17">
        <f t="shared" ref="K15" si="61">J14</f>
        <v>1227.5999999999999</v>
      </c>
      <c r="L15" s="19">
        <f t="shared" ref="L15" si="62">J15-K15</f>
        <v>255.70000000000005</v>
      </c>
      <c r="M15" s="17">
        <f t="shared" si="12"/>
        <v>1</v>
      </c>
      <c r="N15" s="19">
        <f t="shared" ref="N15" si="63">L15*M15</f>
        <v>255.70000000000005</v>
      </c>
      <c r="O15" s="12">
        <f t="shared" si="22"/>
        <v>106.59999999999997</v>
      </c>
      <c r="P15" s="12">
        <v>3306.1</v>
      </c>
      <c r="Q15" s="17">
        <f t="shared" ref="Q15" si="64">P14</f>
        <v>2971.3</v>
      </c>
      <c r="R15" s="19">
        <f t="shared" ref="R15" si="65">P15-Q15</f>
        <v>334.79999999999973</v>
      </c>
      <c r="S15" s="17">
        <f t="shared" si="16"/>
        <v>1</v>
      </c>
      <c r="T15" s="19">
        <f t="shared" ref="T15" si="66">R15*S15</f>
        <v>334.79999999999973</v>
      </c>
      <c r="U15" s="19">
        <v>1.77</v>
      </c>
      <c r="V15" s="19">
        <v>0.99</v>
      </c>
      <c r="W15" s="25"/>
    </row>
    <row r="16" spans="1:23" ht="15.75" x14ac:dyDescent="0.25">
      <c r="A16" s="12">
        <v>10</v>
      </c>
      <c r="B16" s="22" t="s">
        <v>258</v>
      </c>
      <c r="C16" s="19" t="s">
        <v>122</v>
      </c>
      <c r="D16" s="19" t="s">
        <v>124</v>
      </c>
      <c r="E16" s="12">
        <v>910</v>
      </c>
      <c r="F16" s="17">
        <f t="shared" ref="F16" si="67">E15</f>
        <v>870</v>
      </c>
      <c r="G16" s="19">
        <f t="shared" ref="G16" si="68">E16-F16</f>
        <v>40</v>
      </c>
      <c r="H16" s="17">
        <f t="shared" si="8"/>
        <v>1</v>
      </c>
      <c r="I16" s="19">
        <f t="shared" ref="I16" si="69">G16*H16</f>
        <v>40</v>
      </c>
      <c r="J16" s="12">
        <v>1851.3</v>
      </c>
      <c r="K16" s="17">
        <f t="shared" ref="K16" si="70">J15</f>
        <v>1483.3</v>
      </c>
      <c r="L16" s="19">
        <f t="shared" ref="L16" si="71">J16-K16</f>
        <v>368</v>
      </c>
      <c r="M16" s="17">
        <f t="shared" si="12"/>
        <v>1</v>
      </c>
      <c r="N16" s="19">
        <f t="shared" ref="N16" si="72">L16*M16</f>
        <v>368</v>
      </c>
      <c r="O16" s="12">
        <f t="shared" si="22"/>
        <v>121.00000000000003</v>
      </c>
      <c r="P16" s="12">
        <v>3721.1</v>
      </c>
      <c r="Q16" s="17">
        <f t="shared" ref="Q16" si="73">P15</f>
        <v>3306.1</v>
      </c>
      <c r="R16" s="19">
        <f t="shared" ref="R16" si="74">P16-Q16</f>
        <v>415</v>
      </c>
      <c r="S16" s="17">
        <f t="shared" si="16"/>
        <v>1</v>
      </c>
      <c r="T16" s="19">
        <f t="shared" ref="T16" si="75">R16*S16</f>
        <v>415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22" t="s">
        <v>121</v>
      </c>
      <c r="I17" s="12">
        <f>SUM(I7:I16)</f>
        <v>909.9</v>
      </c>
      <c r="J17" s="12"/>
      <c r="K17" s="17"/>
      <c r="L17" s="12"/>
      <c r="M17" s="17"/>
      <c r="N17" s="12">
        <f t="shared" ref="N17:O17" si="76">SUM(N7:N16)</f>
        <v>1848</v>
      </c>
      <c r="O17" s="12">
        <f t="shared" si="76"/>
        <v>1137.9999999999998</v>
      </c>
      <c r="P17" s="12"/>
      <c r="Q17" s="17"/>
      <c r="R17" s="12"/>
      <c r="S17" s="17"/>
      <c r="T17" s="12">
        <f>SUM(T7:T16)</f>
        <v>2400.6999999999998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124</v>
      </c>
      <c r="D18" s="19" t="s">
        <v>124</v>
      </c>
      <c r="E18" s="12">
        <v>965.2</v>
      </c>
      <c r="F18" s="17">
        <f>E16</f>
        <v>910</v>
      </c>
      <c r="G18" s="19">
        <f t="shared" ref="G18" si="77">E18-F18</f>
        <v>55.200000000000045</v>
      </c>
      <c r="H18" s="91">
        <v>1</v>
      </c>
      <c r="I18" s="19">
        <f t="shared" ref="I18" si="78">G18*H18</f>
        <v>55.200000000000045</v>
      </c>
      <c r="J18" s="12">
        <v>2219.1</v>
      </c>
      <c r="K18" s="17">
        <f>J16</f>
        <v>1851.3</v>
      </c>
      <c r="L18" s="19">
        <f t="shared" ref="L18:L19" si="79">J18-K18</f>
        <v>367.79999999999995</v>
      </c>
      <c r="M18" s="17">
        <f>M16</f>
        <v>1</v>
      </c>
      <c r="N18" s="19">
        <f t="shared" ref="N18" si="80">L18*M18</f>
        <v>367.79999999999995</v>
      </c>
      <c r="O18" s="17">
        <f t="shared" ref="O18" si="81">N18-I18</f>
        <v>312.59999999999991</v>
      </c>
      <c r="P18" s="12">
        <v>4137.5</v>
      </c>
      <c r="Q18" s="17">
        <f>P16</f>
        <v>3721.1</v>
      </c>
      <c r="R18" s="19">
        <f t="shared" ref="R18:R19" si="82">P18-Q18</f>
        <v>416.40000000000009</v>
      </c>
      <c r="S18" s="17">
        <f>S16</f>
        <v>1</v>
      </c>
      <c r="T18" s="19">
        <f t="shared" ref="T18:T19" si="83">R18*S18</f>
        <v>416.40000000000009</v>
      </c>
      <c r="U18" s="12">
        <v>0.31</v>
      </c>
      <c r="V18" s="12">
        <v>0.99</v>
      </c>
      <c r="W18" s="25"/>
    </row>
    <row r="19" spans="1:23" ht="15.75" x14ac:dyDescent="0.25">
      <c r="A19" s="12">
        <v>12</v>
      </c>
      <c r="B19" s="22" t="s">
        <v>263</v>
      </c>
      <c r="C19" s="19" t="s">
        <v>124</v>
      </c>
      <c r="D19" s="19" t="s">
        <v>124</v>
      </c>
      <c r="E19" s="12">
        <v>1008.1</v>
      </c>
      <c r="F19" s="17">
        <f t="shared" ref="F19:F24" si="84">E18</f>
        <v>965.2</v>
      </c>
      <c r="G19" s="19">
        <f t="shared" ref="G19" si="85">E19-F19</f>
        <v>42.899999999999977</v>
      </c>
      <c r="H19" s="91">
        <f t="shared" ref="H19:H59" si="86">H18</f>
        <v>1</v>
      </c>
      <c r="I19" s="19">
        <f t="shared" ref="I19" si="87">G19*H19</f>
        <v>42.899999999999977</v>
      </c>
      <c r="J19" s="12">
        <v>2539.1</v>
      </c>
      <c r="K19" s="17">
        <f t="shared" ref="K19:K24" si="88">J18</f>
        <v>2219.1</v>
      </c>
      <c r="L19" s="19">
        <f t="shared" si="79"/>
        <v>320</v>
      </c>
      <c r="M19" s="17">
        <f t="shared" ref="M19:M59" si="89">M18</f>
        <v>1</v>
      </c>
      <c r="N19" s="19">
        <f t="shared" ref="N19" si="90">L19*M19</f>
        <v>320</v>
      </c>
      <c r="O19" s="17">
        <f t="shared" ref="O19" si="91">N19-I19</f>
        <v>277.10000000000002</v>
      </c>
      <c r="P19" s="12">
        <v>4510.2</v>
      </c>
      <c r="Q19" s="17">
        <f t="shared" ref="Q19:Q24" si="92">P18</f>
        <v>4137.5</v>
      </c>
      <c r="R19" s="19">
        <f t="shared" si="82"/>
        <v>372.69999999999982</v>
      </c>
      <c r="S19" s="17">
        <f t="shared" ref="S19:S59" si="93">S18</f>
        <v>1</v>
      </c>
      <c r="T19" s="19">
        <f t="shared" si="83"/>
        <v>372.69999999999982</v>
      </c>
      <c r="U19" s="19">
        <v>0.4</v>
      </c>
      <c r="V19" s="19">
        <v>0.99</v>
      </c>
      <c r="W19" s="25"/>
    </row>
    <row r="20" spans="1:23" ht="15.75" x14ac:dyDescent="0.25">
      <c r="A20" s="12">
        <v>13</v>
      </c>
      <c r="B20" s="22" t="s">
        <v>265</v>
      </c>
      <c r="C20" s="19" t="s">
        <v>124</v>
      </c>
      <c r="D20" s="19" t="s">
        <v>124</v>
      </c>
      <c r="E20" s="12">
        <v>1051.0999999999999</v>
      </c>
      <c r="F20" s="17">
        <f t="shared" si="84"/>
        <v>1008.1</v>
      </c>
      <c r="G20" s="19">
        <f t="shared" ref="G20" si="94">E20-F20</f>
        <v>42.999999999999886</v>
      </c>
      <c r="H20" s="91">
        <f t="shared" si="86"/>
        <v>1</v>
      </c>
      <c r="I20" s="19">
        <f t="shared" ref="I20" si="95">G20*H20</f>
        <v>42.999999999999886</v>
      </c>
      <c r="J20" s="12">
        <v>2781.4</v>
      </c>
      <c r="K20" s="17">
        <f t="shared" si="88"/>
        <v>2539.1</v>
      </c>
      <c r="L20" s="19">
        <f t="shared" ref="L20" si="96">J20-K20</f>
        <v>242.30000000000018</v>
      </c>
      <c r="M20" s="17">
        <f t="shared" si="89"/>
        <v>1</v>
      </c>
      <c r="N20" s="19">
        <f t="shared" ref="N20" si="97">L20*M20</f>
        <v>242.30000000000018</v>
      </c>
      <c r="O20" s="17">
        <f t="shared" ref="O20" si="98">N20-I20</f>
        <v>199.3000000000003</v>
      </c>
      <c r="P20" s="12">
        <v>4778.2</v>
      </c>
      <c r="Q20" s="17">
        <f t="shared" si="92"/>
        <v>4510.2</v>
      </c>
      <c r="R20" s="19">
        <f t="shared" ref="R20" si="99">P20-Q20</f>
        <v>268</v>
      </c>
      <c r="S20" s="17">
        <f t="shared" si="93"/>
        <v>1</v>
      </c>
      <c r="T20" s="19">
        <f t="shared" ref="T20" si="100">R20*S20</f>
        <v>268</v>
      </c>
      <c r="U20" s="19">
        <v>0.5</v>
      </c>
      <c r="V20" s="19">
        <v>0.99</v>
      </c>
      <c r="W20" s="25"/>
    </row>
    <row r="21" spans="1:23" ht="15.75" x14ac:dyDescent="0.25">
      <c r="A21" s="12">
        <v>14</v>
      </c>
      <c r="B21" s="22" t="s">
        <v>266</v>
      </c>
      <c r="C21" s="19" t="s">
        <v>124</v>
      </c>
      <c r="D21" s="19" t="s">
        <v>124</v>
      </c>
      <c r="E21" s="12">
        <v>1100.2</v>
      </c>
      <c r="F21" s="17">
        <f t="shared" si="84"/>
        <v>1051.0999999999999</v>
      </c>
      <c r="G21" s="19">
        <f t="shared" ref="G21" si="101">E21-F21</f>
        <v>49.100000000000136</v>
      </c>
      <c r="H21" s="91">
        <f t="shared" si="86"/>
        <v>1</v>
      </c>
      <c r="I21" s="19">
        <f t="shared" ref="I21" si="102">G21*H21</f>
        <v>49.100000000000136</v>
      </c>
      <c r="J21" s="12">
        <v>3022.3</v>
      </c>
      <c r="K21" s="17">
        <f t="shared" si="88"/>
        <v>2781.4</v>
      </c>
      <c r="L21" s="19">
        <f t="shared" ref="L21" si="103">J21-K21</f>
        <v>240.90000000000009</v>
      </c>
      <c r="M21" s="17">
        <f t="shared" si="89"/>
        <v>1</v>
      </c>
      <c r="N21" s="19">
        <f t="shared" ref="N21" si="104">L21*M21</f>
        <v>240.90000000000009</v>
      </c>
      <c r="O21" s="17">
        <f t="shared" ref="O21" si="105">N21-I21</f>
        <v>191.79999999999995</v>
      </c>
      <c r="P21" s="12">
        <v>5092.3</v>
      </c>
      <c r="Q21" s="17">
        <f t="shared" si="92"/>
        <v>4778.2</v>
      </c>
      <c r="R21" s="19">
        <f t="shared" ref="R21" si="106">P21-Q21</f>
        <v>314.10000000000036</v>
      </c>
      <c r="S21" s="17">
        <f t="shared" si="93"/>
        <v>1</v>
      </c>
      <c r="T21" s="19">
        <f t="shared" ref="T21" si="107">R21*S21</f>
        <v>314.10000000000036</v>
      </c>
      <c r="U21" s="19">
        <v>0.49</v>
      </c>
      <c r="V21" s="19">
        <v>0.71</v>
      </c>
      <c r="W21" s="25"/>
    </row>
    <row r="22" spans="1:23" ht="15.75" x14ac:dyDescent="0.25">
      <c r="A22" s="12">
        <v>15</v>
      </c>
      <c r="B22" s="22" t="s">
        <v>267</v>
      </c>
      <c r="C22" s="19" t="s">
        <v>124</v>
      </c>
      <c r="D22" s="19" t="s">
        <v>124</v>
      </c>
      <c r="E22" s="12">
        <v>1151.9000000000001</v>
      </c>
      <c r="F22" s="17">
        <f t="shared" si="84"/>
        <v>1100.2</v>
      </c>
      <c r="G22" s="19">
        <f t="shared" ref="G22" si="108">E22-F22</f>
        <v>51.700000000000045</v>
      </c>
      <c r="H22" s="91">
        <f t="shared" si="86"/>
        <v>1</v>
      </c>
      <c r="I22" s="19">
        <f t="shared" ref="I22" si="109">G22*H22</f>
        <v>51.700000000000045</v>
      </c>
      <c r="J22" s="12">
        <v>3238</v>
      </c>
      <c r="K22" s="17">
        <f t="shared" si="88"/>
        <v>3022.3</v>
      </c>
      <c r="L22" s="19">
        <f t="shared" ref="L22" si="110">J22-K22</f>
        <v>215.69999999999982</v>
      </c>
      <c r="M22" s="17">
        <f t="shared" si="89"/>
        <v>1</v>
      </c>
      <c r="N22" s="19">
        <f t="shared" ref="N22" si="111">L22*M22</f>
        <v>215.69999999999982</v>
      </c>
      <c r="O22" s="17">
        <f t="shared" ref="O22" si="112">N22-I22</f>
        <v>163.99999999999977</v>
      </c>
      <c r="P22" s="12">
        <v>5328.7</v>
      </c>
      <c r="Q22" s="17">
        <f t="shared" si="92"/>
        <v>5092.3</v>
      </c>
      <c r="R22" s="19">
        <f t="shared" ref="R22" si="113">P22-Q22</f>
        <v>236.39999999999964</v>
      </c>
      <c r="S22" s="17">
        <f t="shared" si="93"/>
        <v>1</v>
      </c>
      <c r="T22" s="19">
        <f t="shared" ref="T22" si="114">R22*S22</f>
        <v>236.39999999999964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124</v>
      </c>
      <c r="D23" s="19" t="s">
        <v>124</v>
      </c>
      <c r="E23" s="12">
        <v>1246.5</v>
      </c>
      <c r="F23" s="17">
        <f t="shared" si="84"/>
        <v>1151.9000000000001</v>
      </c>
      <c r="G23" s="19">
        <f t="shared" ref="G23" si="115">E23-F23</f>
        <v>94.599999999999909</v>
      </c>
      <c r="H23" s="91">
        <f t="shared" si="86"/>
        <v>1</v>
      </c>
      <c r="I23" s="19">
        <f t="shared" ref="I23" si="116">G23*H23</f>
        <v>94.599999999999909</v>
      </c>
      <c r="J23" s="12">
        <v>3238</v>
      </c>
      <c r="K23" s="17">
        <f t="shared" si="88"/>
        <v>3238</v>
      </c>
      <c r="L23" s="19">
        <f t="shared" ref="L23" si="117">J23-K23</f>
        <v>0</v>
      </c>
      <c r="M23" s="17">
        <f t="shared" si="89"/>
        <v>1</v>
      </c>
      <c r="N23" s="19">
        <f t="shared" ref="N23" si="118">L23*M23</f>
        <v>0</v>
      </c>
      <c r="O23" s="17">
        <f t="shared" ref="O23" si="119">N23-I23</f>
        <v>-94.599999999999909</v>
      </c>
      <c r="P23" s="12">
        <v>5328.7</v>
      </c>
      <c r="Q23" s="17">
        <f t="shared" si="92"/>
        <v>5328.7</v>
      </c>
      <c r="R23" s="19">
        <f t="shared" ref="R23" si="120">P23-Q23</f>
        <v>0</v>
      </c>
      <c r="S23" s="17">
        <f t="shared" si="93"/>
        <v>1</v>
      </c>
      <c r="T23" s="19">
        <f t="shared" ref="T23" si="121">R23*S23</f>
        <v>0</v>
      </c>
      <c r="U23" s="19">
        <v>0.86</v>
      </c>
      <c r="V23" s="19">
        <v>1.43</v>
      </c>
      <c r="W23" s="25"/>
    </row>
    <row r="24" spans="1:23" ht="15.75" x14ac:dyDescent="0.25">
      <c r="A24" s="12">
        <v>17</v>
      </c>
      <c r="B24" s="22" t="s">
        <v>272</v>
      </c>
      <c r="C24" s="19" t="s">
        <v>124</v>
      </c>
      <c r="D24" s="19" t="s">
        <v>124</v>
      </c>
      <c r="E24" s="12">
        <v>1366.2</v>
      </c>
      <c r="F24" s="17">
        <f t="shared" si="84"/>
        <v>1246.5</v>
      </c>
      <c r="G24" s="19">
        <f t="shared" ref="G24" si="122">E24-F24</f>
        <v>119.70000000000005</v>
      </c>
      <c r="H24" s="91">
        <f t="shared" si="86"/>
        <v>1</v>
      </c>
      <c r="I24" s="19">
        <f t="shared" ref="I24" si="123">G24*H24</f>
        <v>119.70000000000005</v>
      </c>
      <c r="J24" s="12">
        <v>3238</v>
      </c>
      <c r="K24" s="17">
        <f t="shared" si="88"/>
        <v>3238</v>
      </c>
      <c r="L24" s="19">
        <f t="shared" ref="L24" si="124">J24-K24</f>
        <v>0</v>
      </c>
      <c r="M24" s="17">
        <f t="shared" si="89"/>
        <v>1</v>
      </c>
      <c r="N24" s="19">
        <f t="shared" ref="N24" si="125">L24*M24</f>
        <v>0</v>
      </c>
      <c r="O24" s="17">
        <f t="shared" ref="O24" si="126">N24-I24</f>
        <v>-119.70000000000005</v>
      </c>
      <c r="P24" s="12">
        <v>5328.7</v>
      </c>
      <c r="Q24" s="17">
        <f t="shared" si="92"/>
        <v>5328.7</v>
      </c>
      <c r="R24" s="19">
        <f t="shared" ref="R24" si="127">P24-Q24</f>
        <v>0</v>
      </c>
      <c r="S24" s="17">
        <f t="shared" si="93"/>
        <v>1</v>
      </c>
      <c r="T24" s="19">
        <f t="shared" ref="T24" si="128">R24*S24</f>
        <v>0</v>
      </c>
      <c r="U24" s="19">
        <v>0.73</v>
      </c>
      <c r="V24" s="19">
        <v>1.17</v>
      </c>
      <c r="W24" s="25"/>
    </row>
    <row r="25" spans="1:23" ht="15.75" x14ac:dyDescent="0.25">
      <c r="A25" s="12">
        <v>18</v>
      </c>
      <c r="B25" s="22" t="s">
        <v>274</v>
      </c>
      <c r="C25" s="19" t="s">
        <v>124</v>
      </c>
      <c r="D25" s="19" t="s">
        <v>124</v>
      </c>
      <c r="E25" s="12">
        <v>1474.9</v>
      </c>
      <c r="F25" s="17">
        <f t="shared" ref="F25" si="129">E24</f>
        <v>1366.2</v>
      </c>
      <c r="G25" s="19">
        <f t="shared" ref="G25" si="130">E25-F25</f>
        <v>108.70000000000005</v>
      </c>
      <c r="H25" s="91">
        <f t="shared" si="86"/>
        <v>1</v>
      </c>
      <c r="I25" s="19">
        <f t="shared" ref="I25" si="131">G25*H25</f>
        <v>108.70000000000005</v>
      </c>
      <c r="J25" s="12">
        <v>3277.6</v>
      </c>
      <c r="K25" s="17">
        <f t="shared" ref="K25" si="132">J24</f>
        <v>3238</v>
      </c>
      <c r="L25" s="19">
        <f t="shared" ref="L25" si="133">J25-K25</f>
        <v>39.599999999999909</v>
      </c>
      <c r="M25" s="17">
        <f t="shared" si="89"/>
        <v>1</v>
      </c>
      <c r="N25" s="19">
        <f t="shared" ref="N25" si="134">L25*M25</f>
        <v>39.599999999999909</v>
      </c>
      <c r="O25" s="17">
        <f t="shared" ref="O25:O26" si="135">N25-I25</f>
        <v>-69.100000000000136</v>
      </c>
      <c r="P25" s="12">
        <v>5391.9</v>
      </c>
      <c r="Q25" s="17">
        <f t="shared" ref="Q25" si="136">P24</f>
        <v>5328.7</v>
      </c>
      <c r="R25" s="19">
        <f t="shared" ref="R25" si="137">P25-Q25</f>
        <v>63.199999999999818</v>
      </c>
      <c r="S25" s="17">
        <f t="shared" si="93"/>
        <v>1</v>
      </c>
      <c r="T25" s="19">
        <f t="shared" ref="T25" si="138">R25*S25</f>
        <v>63.199999999999818</v>
      </c>
      <c r="U25" s="19">
        <v>1.49</v>
      </c>
      <c r="V25" s="19">
        <v>0.99</v>
      </c>
      <c r="W25" s="25"/>
    </row>
    <row r="26" spans="1:23" ht="15.75" x14ac:dyDescent="0.25">
      <c r="A26" s="12">
        <v>19</v>
      </c>
      <c r="B26" s="22" t="s">
        <v>276</v>
      </c>
      <c r="C26" s="19" t="s">
        <v>124</v>
      </c>
      <c r="D26" s="19" t="s">
        <v>124</v>
      </c>
      <c r="E26" s="12">
        <v>1539.7</v>
      </c>
      <c r="F26" s="17">
        <f t="shared" ref="F26" si="139">E25</f>
        <v>1474.9</v>
      </c>
      <c r="G26" s="19">
        <f t="shared" ref="G26" si="140">E26-F26</f>
        <v>64.799999999999955</v>
      </c>
      <c r="H26" s="91">
        <f t="shared" si="86"/>
        <v>1</v>
      </c>
      <c r="I26" s="19">
        <f t="shared" ref="I26" si="141">G26*H26</f>
        <v>64.799999999999955</v>
      </c>
      <c r="J26" s="12">
        <v>3540.3</v>
      </c>
      <c r="K26" s="17">
        <f t="shared" ref="K26" si="142">J25</f>
        <v>3277.6</v>
      </c>
      <c r="L26" s="19">
        <f t="shared" ref="L26" si="143">J26-K26</f>
        <v>262.70000000000027</v>
      </c>
      <c r="M26" s="17">
        <f t="shared" si="89"/>
        <v>1</v>
      </c>
      <c r="N26" s="19">
        <f t="shared" ref="N26" si="144">L26*M26</f>
        <v>262.70000000000027</v>
      </c>
      <c r="O26" s="17">
        <f t="shared" si="135"/>
        <v>197.90000000000032</v>
      </c>
      <c r="P26" s="12">
        <v>5703.9</v>
      </c>
      <c r="Q26" s="17">
        <f t="shared" ref="Q26" si="145">P25</f>
        <v>5391.9</v>
      </c>
      <c r="R26" s="19">
        <f t="shared" ref="R26" si="146">P26-Q26</f>
        <v>312</v>
      </c>
      <c r="S26" s="17">
        <f t="shared" si="93"/>
        <v>1</v>
      </c>
      <c r="T26" s="19">
        <f t="shared" ref="T26" si="147">R26*S26</f>
        <v>312</v>
      </c>
      <c r="U26" s="19">
        <v>1.72</v>
      </c>
      <c r="V26" s="19">
        <v>0.97</v>
      </c>
      <c r="W26" s="25"/>
    </row>
    <row r="27" spans="1:23" ht="15.75" x14ac:dyDescent="0.25">
      <c r="A27" s="12">
        <v>20</v>
      </c>
      <c r="B27" s="22" t="s">
        <v>262</v>
      </c>
      <c r="C27" s="19" t="s">
        <v>124</v>
      </c>
      <c r="D27" s="19" t="s">
        <v>124</v>
      </c>
      <c r="E27" s="12">
        <v>1600.6</v>
      </c>
      <c r="F27" s="17">
        <f t="shared" ref="F27" si="148">E26</f>
        <v>1539.7</v>
      </c>
      <c r="G27" s="19">
        <f t="shared" ref="G27" si="149">E27-F27</f>
        <v>60.899999999999864</v>
      </c>
      <c r="H27" s="91">
        <f t="shared" si="86"/>
        <v>1</v>
      </c>
      <c r="I27" s="19">
        <f t="shared" ref="I27" si="150">G27*H27</f>
        <v>60.899999999999864</v>
      </c>
      <c r="J27" s="12">
        <v>3809.3</v>
      </c>
      <c r="K27" s="17">
        <f t="shared" ref="K27" si="151">J26</f>
        <v>3540.3</v>
      </c>
      <c r="L27" s="19">
        <f t="shared" ref="L27" si="152">J27-K27</f>
        <v>269</v>
      </c>
      <c r="M27" s="17">
        <f t="shared" si="89"/>
        <v>1</v>
      </c>
      <c r="N27" s="19">
        <f t="shared" ref="N27" si="153">L27*M27</f>
        <v>269</v>
      </c>
      <c r="O27" s="17">
        <f t="shared" ref="O27" si="154">N27-I27</f>
        <v>208.10000000000014</v>
      </c>
      <c r="P27" s="12">
        <v>6033.5</v>
      </c>
      <c r="Q27" s="17">
        <f t="shared" ref="Q27" si="155">P26</f>
        <v>5703.9</v>
      </c>
      <c r="R27" s="19">
        <f t="shared" ref="R27" si="156">P27-Q27</f>
        <v>329.60000000000036</v>
      </c>
      <c r="S27" s="17">
        <f t="shared" si="93"/>
        <v>1</v>
      </c>
      <c r="T27" s="19">
        <f t="shared" ref="T27" si="157">R27*S27</f>
        <v>329.60000000000036</v>
      </c>
      <c r="U27" s="19">
        <v>1.79</v>
      </c>
      <c r="V27" s="19">
        <v>0.98</v>
      </c>
      <c r="W27" s="25"/>
    </row>
    <row r="28" spans="1:23" ht="15.75" x14ac:dyDescent="0.25">
      <c r="A28" s="12">
        <v>21</v>
      </c>
      <c r="B28" s="22" t="s">
        <v>277</v>
      </c>
      <c r="C28" s="19" t="s">
        <v>124</v>
      </c>
      <c r="D28" s="19" t="s">
        <v>124</v>
      </c>
      <c r="E28" s="12">
        <v>1649.6</v>
      </c>
      <c r="F28" s="17">
        <f t="shared" ref="F28" si="158">E27</f>
        <v>1600.6</v>
      </c>
      <c r="G28" s="19">
        <f t="shared" ref="G28" si="159">E28-F28</f>
        <v>49</v>
      </c>
      <c r="H28" s="91">
        <f t="shared" si="86"/>
        <v>1</v>
      </c>
      <c r="I28" s="19">
        <f t="shared" ref="I28" si="160">G28*H28</f>
        <v>49</v>
      </c>
      <c r="J28" s="12">
        <v>4108.5</v>
      </c>
      <c r="K28" s="17">
        <f t="shared" ref="K28" si="161">J27</f>
        <v>3809.3</v>
      </c>
      <c r="L28" s="19">
        <f t="shared" ref="L28" si="162">J28-K28</f>
        <v>299.19999999999982</v>
      </c>
      <c r="M28" s="17">
        <f t="shared" si="89"/>
        <v>1</v>
      </c>
      <c r="N28" s="19">
        <f t="shared" ref="N28" si="163">L28*M28</f>
        <v>299.19999999999982</v>
      </c>
      <c r="O28" s="17">
        <f t="shared" ref="O28" si="164">N28-I28</f>
        <v>250.19999999999982</v>
      </c>
      <c r="P28" s="12">
        <v>6368.5</v>
      </c>
      <c r="Q28" s="17">
        <f t="shared" ref="Q28" si="165">P27</f>
        <v>6033.5</v>
      </c>
      <c r="R28" s="19">
        <f t="shared" ref="R28" si="166">P28-Q28</f>
        <v>335</v>
      </c>
      <c r="S28" s="17">
        <f t="shared" si="93"/>
        <v>1</v>
      </c>
      <c r="T28" s="19">
        <f t="shared" ref="T28" si="167">R28*S28</f>
        <v>335</v>
      </c>
      <c r="U28" s="19">
        <v>0.25</v>
      </c>
      <c r="V28" s="19">
        <v>0.98</v>
      </c>
      <c r="W28" s="25"/>
    </row>
    <row r="29" spans="1:23" ht="15.75" x14ac:dyDescent="0.25">
      <c r="A29" s="12">
        <v>22</v>
      </c>
      <c r="B29" s="22" t="s">
        <v>278</v>
      </c>
      <c r="C29" s="19" t="s">
        <v>124</v>
      </c>
      <c r="D29" s="19" t="s">
        <v>124</v>
      </c>
      <c r="E29" s="12">
        <v>1707.2</v>
      </c>
      <c r="F29" s="17">
        <f t="shared" ref="F29" si="168">E28</f>
        <v>1649.6</v>
      </c>
      <c r="G29" s="19">
        <f t="shared" ref="G29" si="169">E29-F29</f>
        <v>57.600000000000136</v>
      </c>
      <c r="H29" s="91">
        <f t="shared" si="86"/>
        <v>1</v>
      </c>
      <c r="I29" s="19">
        <f t="shared" ref="I29" si="170">G29*H29</f>
        <v>57.600000000000136</v>
      </c>
      <c r="J29" s="12">
        <v>4419.3999999999996</v>
      </c>
      <c r="K29" s="17">
        <f t="shared" ref="K29" si="171">J28</f>
        <v>4108.5</v>
      </c>
      <c r="L29" s="19">
        <f t="shared" ref="L29" si="172">J29-K29</f>
        <v>310.89999999999964</v>
      </c>
      <c r="M29" s="17">
        <f t="shared" si="89"/>
        <v>1</v>
      </c>
      <c r="N29" s="19">
        <f t="shared" ref="N29" si="173">L29*M29</f>
        <v>310.89999999999964</v>
      </c>
      <c r="O29" s="17">
        <f t="shared" ref="O29" si="174">N29-I29</f>
        <v>253.2999999999995</v>
      </c>
      <c r="P29" s="12">
        <v>6751.7</v>
      </c>
      <c r="Q29" s="17">
        <f t="shared" ref="Q29" si="175">P28</f>
        <v>6368.5</v>
      </c>
      <c r="R29" s="19">
        <f t="shared" ref="R29" si="176">P29-Q29</f>
        <v>383.19999999999982</v>
      </c>
      <c r="S29" s="17">
        <f t="shared" si="93"/>
        <v>1</v>
      </c>
      <c r="T29" s="19">
        <f t="shared" ref="T29" si="177">R29*S29</f>
        <v>383.19999999999982</v>
      </c>
      <c r="U29" s="19">
        <v>0.5</v>
      </c>
      <c r="V29" s="19">
        <v>0.96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124</v>
      </c>
      <c r="D31" s="19" t="s">
        <v>124</v>
      </c>
      <c r="E31" s="12">
        <v>1761.2</v>
      </c>
      <c r="F31" s="17">
        <f t="shared" ref="F31" si="178">E29</f>
        <v>1707.2</v>
      </c>
      <c r="G31" s="19">
        <f t="shared" ref="G31" si="179">E31-F31</f>
        <v>54</v>
      </c>
      <c r="H31" s="91">
        <f>H29</f>
        <v>1</v>
      </c>
      <c r="I31" s="19">
        <f t="shared" ref="I31" si="180">G31*H31</f>
        <v>54</v>
      </c>
      <c r="J31" s="12">
        <v>4723.3999999999996</v>
      </c>
      <c r="K31" s="17">
        <f t="shared" ref="K31" si="181">J29</f>
        <v>4419.3999999999996</v>
      </c>
      <c r="L31" s="19">
        <f t="shared" ref="L31" si="182">J31-K31</f>
        <v>304</v>
      </c>
      <c r="M31" s="17">
        <f>M29</f>
        <v>1</v>
      </c>
      <c r="N31" s="19">
        <f t="shared" ref="N31" si="183">L31*M31</f>
        <v>304</v>
      </c>
      <c r="O31" s="17">
        <f t="shared" ref="O31" si="184">N31-I31</f>
        <v>250</v>
      </c>
      <c r="P31" s="12">
        <v>7111.7</v>
      </c>
      <c r="Q31" s="17">
        <f t="shared" ref="Q31" si="185">P29</f>
        <v>6751.7</v>
      </c>
      <c r="R31" s="19">
        <f t="shared" ref="R31" si="186">P31-Q31</f>
        <v>360</v>
      </c>
      <c r="S31" s="17">
        <f>S29</f>
        <v>1</v>
      </c>
      <c r="T31" s="19">
        <f t="shared" ref="T31" si="187">R31*S31</f>
        <v>360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124</v>
      </c>
      <c r="D32" s="19" t="s">
        <v>124</v>
      </c>
      <c r="E32" s="12">
        <v>1815.7</v>
      </c>
      <c r="F32" s="17">
        <f t="shared" ref="F32" si="188">E31</f>
        <v>1761.2</v>
      </c>
      <c r="G32" s="19">
        <f t="shared" ref="G32" si="189">E32-F32</f>
        <v>54.5</v>
      </c>
      <c r="H32" s="91">
        <f t="shared" si="86"/>
        <v>1</v>
      </c>
      <c r="I32" s="19">
        <f t="shared" ref="I32" si="190">G32*H32</f>
        <v>54.5</v>
      </c>
      <c r="J32" s="12">
        <v>5011.8999999999996</v>
      </c>
      <c r="K32" s="17">
        <f t="shared" ref="K32" si="191">J31</f>
        <v>4723.3999999999996</v>
      </c>
      <c r="L32" s="19">
        <f t="shared" ref="L32" si="192">J32-K32</f>
        <v>288.5</v>
      </c>
      <c r="M32" s="17">
        <f t="shared" si="89"/>
        <v>1</v>
      </c>
      <c r="N32" s="19">
        <f t="shared" ref="N32" si="193">L32*M32</f>
        <v>288.5</v>
      </c>
      <c r="O32" s="17">
        <f t="shared" ref="O32" si="194">N32-I32</f>
        <v>234</v>
      </c>
      <c r="P32" s="12">
        <v>7450.4</v>
      </c>
      <c r="Q32" s="17">
        <f t="shared" ref="Q32" si="195">P31</f>
        <v>7111.7</v>
      </c>
      <c r="R32" s="19">
        <f t="shared" ref="R32" si="196">P32-Q32</f>
        <v>338.69999999999982</v>
      </c>
      <c r="S32" s="17">
        <f t="shared" si="93"/>
        <v>1</v>
      </c>
      <c r="T32" s="19">
        <f t="shared" ref="T32" si="197">R32*S32</f>
        <v>338.69999999999982</v>
      </c>
      <c r="U32" s="19">
        <v>0.6</v>
      </c>
      <c r="V32" s="19">
        <v>0.95</v>
      </c>
      <c r="W32" s="25"/>
    </row>
    <row r="33" spans="1:23" ht="15.75" x14ac:dyDescent="0.25">
      <c r="A33" s="12">
        <v>25</v>
      </c>
      <c r="B33" s="22" t="s">
        <v>281</v>
      </c>
      <c r="C33" s="19" t="s">
        <v>124</v>
      </c>
      <c r="D33" s="19" t="s">
        <v>124</v>
      </c>
      <c r="E33" s="12">
        <v>1865.2</v>
      </c>
      <c r="F33" s="17">
        <f t="shared" ref="F33" si="198">E32</f>
        <v>1815.7</v>
      </c>
      <c r="G33" s="19">
        <f t="shared" ref="G33" si="199">E33-F33</f>
        <v>49.5</v>
      </c>
      <c r="H33" s="91">
        <f t="shared" si="86"/>
        <v>1</v>
      </c>
      <c r="I33" s="19">
        <f t="shared" ref="I33" si="200">G33*H33</f>
        <v>49.5</v>
      </c>
      <c r="J33" s="12">
        <v>5278.9</v>
      </c>
      <c r="K33" s="17">
        <f t="shared" ref="K33" si="201">J32</f>
        <v>5011.8999999999996</v>
      </c>
      <c r="L33" s="19">
        <f t="shared" ref="L33" si="202">J33-K33</f>
        <v>267</v>
      </c>
      <c r="M33" s="17">
        <f t="shared" si="89"/>
        <v>1</v>
      </c>
      <c r="N33" s="19">
        <f t="shared" ref="N33" si="203">L33*M33</f>
        <v>267</v>
      </c>
      <c r="O33" s="17">
        <f t="shared" ref="O33" si="204">N33-I33</f>
        <v>217.5</v>
      </c>
      <c r="P33" s="12">
        <v>7768.7</v>
      </c>
      <c r="Q33" s="17">
        <f t="shared" ref="Q33" si="205">P32</f>
        <v>7450.4</v>
      </c>
      <c r="R33" s="19">
        <f t="shared" ref="R33" si="206">P33-Q33</f>
        <v>318.30000000000018</v>
      </c>
      <c r="S33" s="17">
        <f t="shared" si="93"/>
        <v>1</v>
      </c>
      <c r="T33" s="19">
        <f t="shared" ref="T33" si="207">R33*S33</f>
        <v>318.30000000000018</v>
      </c>
      <c r="U33" s="19">
        <v>0.31</v>
      </c>
      <c r="V33" s="19">
        <v>0.94</v>
      </c>
      <c r="W33" s="25"/>
    </row>
    <row r="34" spans="1:23" ht="15.75" x14ac:dyDescent="0.25">
      <c r="A34" s="12">
        <v>26</v>
      </c>
      <c r="B34" s="22" t="s">
        <v>282</v>
      </c>
      <c r="C34" s="19" t="s">
        <v>124</v>
      </c>
      <c r="D34" s="19" t="s">
        <v>124</v>
      </c>
      <c r="E34" s="12">
        <v>1918.3</v>
      </c>
      <c r="F34" s="17">
        <f t="shared" ref="F34" si="208">E33</f>
        <v>1865.2</v>
      </c>
      <c r="G34" s="19">
        <f t="shared" ref="G34" si="209">E34-F34</f>
        <v>53.099999999999909</v>
      </c>
      <c r="H34" s="91">
        <f t="shared" si="86"/>
        <v>1</v>
      </c>
      <c r="I34" s="19">
        <f t="shared" ref="I34" si="210">G34*H34</f>
        <v>53.099999999999909</v>
      </c>
      <c r="J34" s="12">
        <v>5501.1</v>
      </c>
      <c r="K34" s="17">
        <f t="shared" ref="K34" si="211">J33</f>
        <v>5278.9</v>
      </c>
      <c r="L34" s="19">
        <f t="shared" ref="L34" si="212">J34-K34</f>
        <v>222.20000000000073</v>
      </c>
      <c r="M34" s="17">
        <f t="shared" si="89"/>
        <v>1</v>
      </c>
      <c r="N34" s="19">
        <f t="shared" ref="N34" si="213">L34*M34</f>
        <v>222.20000000000073</v>
      </c>
      <c r="O34" s="17">
        <f t="shared" ref="O34" si="214">N34-I34</f>
        <v>169.10000000000082</v>
      </c>
      <c r="P34" s="12">
        <v>8057</v>
      </c>
      <c r="Q34" s="17">
        <f t="shared" ref="Q34" si="215">P33</f>
        <v>7768.7</v>
      </c>
      <c r="R34" s="19">
        <f t="shared" ref="R34" si="216">P34-Q34</f>
        <v>288.30000000000018</v>
      </c>
      <c r="S34" s="17">
        <f t="shared" si="93"/>
        <v>1</v>
      </c>
      <c r="T34" s="19">
        <f t="shared" ref="T34" si="217">R34*S34</f>
        <v>288.30000000000018</v>
      </c>
      <c r="U34" s="19">
        <v>0.72</v>
      </c>
      <c r="V34" s="19">
        <v>0.87</v>
      </c>
      <c r="W34" s="25"/>
    </row>
    <row r="35" spans="1:23" ht="15.75" x14ac:dyDescent="0.25">
      <c r="A35" s="12">
        <v>27</v>
      </c>
      <c r="B35" s="22" t="s">
        <v>283</v>
      </c>
      <c r="C35" s="19" t="s">
        <v>124</v>
      </c>
      <c r="D35" s="19" t="s">
        <v>124</v>
      </c>
      <c r="E35" s="12">
        <v>1969.4</v>
      </c>
      <c r="F35" s="17">
        <f t="shared" ref="F35" si="218">E34</f>
        <v>1918.3</v>
      </c>
      <c r="G35" s="19">
        <f t="shared" ref="G35" si="219">E35-F35</f>
        <v>51.100000000000136</v>
      </c>
      <c r="H35" s="91">
        <f t="shared" si="86"/>
        <v>1</v>
      </c>
      <c r="I35" s="19">
        <f t="shared" ref="I35" si="220">G35*H35</f>
        <v>51.100000000000136</v>
      </c>
      <c r="J35" s="12">
        <v>5743.5</v>
      </c>
      <c r="K35" s="17">
        <f t="shared" ref="K35" si="221">J34</f>
        <v>5501.1</v>
      </c>
      <c r="L35" s="19">
        <f t="shared" ref="L35" si="222">J35-K35</f>
        <v>242.39999999999964</v>
      </c>
      <c r="M35" s="17">
        <f t="shared" si="89"/>
        <v>1</v>
      </c>
      <c r="N35" s="19">
        <f t="shared" ref="N35" si="223">L35*M35</f>
        <v>242.39999999999964</v>
      </c>
      <c r="O35" s="17">
        <f t="shared" ref="O35" si="224">N35-I35</f>
        <v>191.2999999999995</v>
      </c>
      <c r="P35" s="12">
        <v>8348</v>
      </c>
      <c r="Q35" s="17">
        <f t="shared" ref="Q35" si="225">P34</f>
        <v>8057</v>
      </c>
      <c r="R35" s="19">
        <f t="shared" ref="R35" si="226">P35-Q35</f>
        <v>291</v>
      </c>
      <c r="S35" s="17">
        <f t="shared" si="93"/>
        <v>1</v>
      </c>
      <c r="T35" s="19">
        <f t="shared" ref="T35" si="227">R35*S35</f>
        <v>291</v>
      </c>
      <c r="U35" s="19">
        <v>0.47</v>
      </c>
      <c r="V35" s="19">
        <v>0.98</v>
      </c>
      <c r="W35" s="25"/>
    </row>
    <row r="36" spans="1:23" ht="15.75" x14ac:dyDescent="0.25">
      <c r="A36" s="12">
        <v>28</v>
      </c>
      <c r="B36" s="22" t="s">
        <v>284</v>
      </c>
      <c r="C36" s="19" t="s">
        <v>124</v>
      </c>
      <c r="D36" s="19" t="s">
        <v>124</v>
      </c>
      <c r="E36" s="12">
        <v>2017.2</v>
      </c>
      <c r="F36" s="17">
        <f t="shared" ref="F36" si="228">E35</f>
        <v>1969.4</v>
      </c>
      <c r="G36" s="19">
        <f t="shared" ref="G36" si="229">E36-F36</f>
        <v>47.799999999999955</v>
      </c>
      <c r="H36" s="91">
        <f t="shared" si="86"/>
        <v>1</v>
      </c>
      <c r="I36" s="19">
        <f t="shared" ref="I36" si="230">G36*H36</f>
        <v>47.799999999999955</v>
      </c>
      <c r="J36" s="12">
        <v>6024.9</v>
      </c>
      <c r="K36" s="17">
        <f t="shared" ref="K36" si="231">J35</f>
        <v>5743.5</v>
      </c>
      <c r="L36" s="19">
        <f t="shared" ref="L36" si="232">J36-K36</f>
        <v>281.39999999999964</v>
      </c>
      <c r="M36" s="17">
        <f t="shared" si="89"/>
        <v>1</v>
      </c>
      <c r="N36" s="19">
        <f t="shared" ref="N36" si="233">L36*M36</f>
        <v>281.39999999999964</v>
      </c>
      <c r="O36" s="17">
        <f t="shared" ref="O36" si="234">N36-I36</f>
        <v>233.59999999999968</v>
      </c>
      <c r="P36" s="12">
        <v>8681.7999999999993</v>
      </c>
      <c r="Q36" s="17">
        <f t="shared" ref="Q36" si="235">P35</f>
        <v>8348</v>
      </c>
      <c r="R36" s="19">
        <f t="shared" ref="R36" si="236">P36-Q36</f>
        <v>333.79999999999927</v>
      </c>
      <c r="S36" s="17">
        <f t="shared" si="93"/>
        <v>1</v>
      </c>
      <c r="T36" s="19">
        <f t="shared" ref="T36" si="237">R36*S36</f>
        <v>333.79999999999927</v>
      </c>
      <c r="U36" s="19">
        <v>0.43</v>
      </c>
      <c r="V36" s="19">
        <v>0.98</v>
      </c>
      <c r="W36" s="25"/>
    </row>
    <row r="37" spans="1:23" ht="15.75" x14ac:dyDescent="0.25">
      <c r="A37" s="12">
        <v>29</v>
      </c>
      <c r="B37" s="22" t="s">
        <v>286</v>
      </c>
      <c r="C37" s="19" t="s">
        <v>124</v>
      </c>
      <c r="D37" s="19" t="s">
        <v>124</v>
      </c>
      <c r="E37" s="12">
        <v>2072.9</v>
      </c>
      <c r="F37" s="17">
        <f t="shared" ref="F37" si="238">E36</f>
        <v>2017.2</v>
      </c>
      <c r="G37" s="19">
        <f t="shared" ref="G37" si="239">E37-F37</f>
        <v>55.700000000000045</v>
      </c>
      <c r="H37" s="91">
        <f t="shared" si="86"/>
        <v>1</v>
      </c>
      <c r="I37" s="19">
        <f t="shared" ref="I37" si="240">G37*H37</f>
        <v>55.700000000000045</v>
      </c>
      <c r="J37" s="12">
        <v>6301.6</v>
      </c>
      <c r="K37" s="17">
        <f t="shared" ref="K37" si="241">J36</f>
        <v>6024.9</v>
      </c>
      <c r="L37" s="19">
        <f t="shared" ref="L37" si="242">J37-K37</f>
        <v>276.70000000000073</v>
      </c>
      <c r="M37" s="17">
        <f t="shared" si="89"/>
        <v>1</v>
      </c>
      <c r="N37" s="19">
        <f t="shared" ref="N37" si="243">L37*M37</f>
        <v>276.70000000000073</v>
      </c>
      <c r="O37" s="17">
        <f t="shared" ref="O37" si="244">N37-I37</f>
        <v>221.00000000000068</v>
      </c>
      <c r="P37" s="12">
        <v>9071</v>
      </c>
      <c r="Q37" s="17">
        <f t="shared" ref="Q37" si="245">P36</f>
        <v>8681.7999999999993</v>
      </c>
      <c r="R37" s="19">
        <f t="shared" ref="R37" si="246">P37-Q37</f>
        <v>389.20000000000073</v>
      </c>
      <c r="S37" s="17">
        <f t="shared" si="93"/>
        <v>1</v>
      </c>
      <c r="T37" s="19">
        <f t="shared" ref="T37" si="247">R37*S37</f>
        <v>389.20000000000073</v>
      </c>
      <c r="U37" s="19">
        <v>1.69</v>
      </c>
      <c r="V37" s="19">
        <v>0.95</v>
      </c>
      <c r="W37" s="25"/>
    </row>
    <row r="38" spans="1:23" ht="15.75" x14ac:dyDescent="0.25">
      <c r="A38" s="12">
        <v>30</v>
      </c>
      <c r="B38" s="22" t="s">
        <v>288</v>
      </c>
      <c r="C38" s="19" t="s">
        <v>124</v>
      </c>
      <c r="D38" s="19" t="s">
        <v>124</v>
      </c>
      <c r="E38" s="12">
        <v>2146.5</v>
      </c>
      <c r="F38" s="17">
        <f t="shared" ref="F38" si="248">E37</f>
        <v>2072.9</v>
      </c>
      <c r="G38" s="19">
        <f t="shared" ref="G38" si="249">E38-F38</f>
        <v>73.599999999999909</v>
      </c>
      <c r="H38" s="91">
        <f t="shared" si="86"/>
        <v>1</v>
      </c>
      <c r="I38" s="19">
        <f t="shared" ref="I38" si="250">G38*H38</f>
        <v>73.599999999999909</v>
      </c>
      <c r="J38" s="12">
        <v>6472.4</v>
      </c>
      <c r="K38" s="17">
        <f t="shared" ref="K38" si="251">J37</f>
        <v>6301.6</v>
      </c>
      <c r="L38" s="19">
        <f t="shared" ref="L38" si="252">J38-K38</f>
        <v>170.79999999999927</v>
      </c>
      <c r="M38" s="17">
        <f t="shared" si="89"/>
        <v>1</v>
      </c>
      <c r="N38" s="19">
        <f t="shared" ref="N38" si="253">L38*M38</f>
        <v>170.79999999999927</v>
      </c>
      <c r="O38" s="17">
        <f t="shared" ref="O38" si="254">N38-I38</f>
        <v>97.199999999999363</v>
      </c>
      <c r="P38" s="12">
        <v>9273.7999999999993</v>
      </c>
      <c r="Q38" s="17">
        <f t="shared" ref="Q38" si="255">P37</f>
        <v>9071</v>
      </c>
      <c r="R38" s="19">
        <f t="shared" ref="R38" si="256">P38-Q38</f>
        <v>202.79999999999927</v>
      </c>
      <c r="S38" s="17">
        <f t="shared" si="93"/>
        <v>1</v>
      </c>
      <c r="T38" s="19">
        <f t="shared" ref="T38" si="257">R38*S38</f>
        <v>202.79999999999927</v>
      </c>
      <c r="U38" s="19">
        <v>1.66</v>
      </c>
      <c r="V38" s="19">
        <v>0.98</v>
      </c>
      <c r="W38" s="25"/>
    </row>
    <row r="39" spans="1:23" ht="15.75" x14ac:dyDescent="0.25">
      <c r="A39" s="12">
        <v>31</v>
      </c>
      <c r="B39" s="22" t="s">
        <v>289</v>
      </c>
      <c r="C39" s="19" t="s">
        <v>124</v>
      </c>
      <c r="D39" s="19" t="s">
        <v>124</v>
      </c>
      <c r="E39" s="12">
        <v>2219.4</v>
      </c>
      <c r="F39" s="17">
        <f t="shared" ref="F39" si="258">E38</f>
        <v>2146.5</v>
      </c>
      <c r="G39" s="19">
        <f t="shared" ref="G39" si="259">E39-F39</f>
        <v>72.900000000000091</v>
      </c>
      <c r="H39" s="91">
        <f t="shared" si="86"/>
        <v>1</v>
      </c>
      <c r="I39" s="19">
        <f t="shared" ref="I39" si="260">G39*H39</f>
        <v>72.900000000000091</v>
      </c>
      <c r="J39" s="12">
        <v>6737.6</v>
      </c>
      <c r="K39" s="17">
        <f t="shared" ref="K39" si="261">J38</f>
        <v>6472.4</v>
      </c>
      <c r="L39" s="19">
        <f t="shared" ref="L39" si="262">J39-K39</f>
        <v>265.20000000000073</v>
      </c>
      <c r="M39" s="17">
        <f t="shared" si="89"/>
        <v>1</v>
      </c>
      <c r="N39" s="19">
        <f t="shared" ref="N39" si="263">L39*M39</f>
        <v>265.20000000000073</v>
      </c>
      <c r="O39" s="17">
        <f t="shared" ref="O39" si="264">N39-I39</f>
        <v>192.30000000000064</v>
      </c>
      <c r="P39" s="12">
        <v>9584.5</v>
      </c>
      <c r="Q39" s="17">
        <f t="shared" ref="Q39" si="265">P38</f>
        <v>9273.7999999999993</v>
      </c>
      <c r="R39" s="19">
        <f t="shared" ref="R39" si="266">P39-Q39</f>
        <v>310.70000000000073</v>
      </c>
      <c r="S39" s="17">
        <f t="shared" si="93"/>
        <v>1</v>
      </c>
      <c r="T39" s="19">
        <f t="shared" ref="T39" si="267">R39*S39</f>
        <v>310.70000000000073</v>
      </c>
      <c r="U39" s="19">
        <v>1.66</v>
      </c>
      <c r="V39" s="19">
        <v>0.98</v>
      </c>
      <c r="W39" s="25"/>
    </row>
    <row r="40" spans="1:23" ht="15.75" x14ac:dyDescent="0.25">
      <c r="A40" s="12">
        <v>32</v>
      </c>
      <c r="B40" s="22" t="s">
        <v>290</v>
      </c>
      <c r="C40" s="19" t="s">
        <v>124</v>
      </c>
      <c r="D40" s="19" t="s">
        <v>124</v>
      </c>
      <c r="E40" s="12">
        <v>2287</v>
      </c>
      <c r="F40" s="17">
        <f t="shared" ref="F40" si="268">E39</f>
        <v>2219.4</v>
      </c>
      <c r="G40" s="19">
        <f t="shared" ref="G40" si="269">E40-F40</f>
        <v>67.599999999999909</v>
      </c>
      <c r="H40" s="91">
        <f t="shared" si="86"/>
        <v>1</v>
      </c>
      <c r="I40" s="19">
        <f t="shared" ref="I40" si="270">G40*H40</f>
        <v>67.599999999999909</v>
      </c>
      <c r="J40" s="12">
        <v>7030.2</v>
      </c>
      <c r="K40" s="17">
        <f t="shared" ref="K40" si="271">J39</f>
        <v>6737.6</v>
      </c>
      <c r="L40" s="19">
        <f t="shared" ref="L40" si="272">J40-K40</f>
        <v>292.59999999999945</v>
      </c>
      <c r="M40" s="17">
        <f t="shared" si="89"/>
        <v>1</v>
      </c>
      <c r="N40" s="19">
        <f t="shared" ref="N40" si="273">L40*M40</f>
        <v>292.59999999999945</v>
      </c>
      <c r="O40" s="17">
        <f t="shared" ref="O40" si="274">N40-I40</f>
        <v>224.99999999999955</v>
      </c>
      <c r="P40" s="12">
        <v>9937.7999999999993</v>
      </c>
      <c r="Q40" s="17">
        <f t="shared" ref="Q40" si="275">P39</f>
        <v>9584.5</v>
      </c>
      <c r="R40" s="19">
        <f t="shared" ref="R40" si="276">P40-Q40</f>
        <v>353.29999999999927</v>
      </c>
      <c r="S40" s="17">
        <f t="shared" si="93"/>
        <v>1</v>
      </c>
      <c r="T40" s="19">
        <f t="shared" ref="T40" si="277">R40*S40</f>
        <v>353.29999999999927</v>
      </c>
      <c r="U40" s="19">
        <v>1.66</v>
      </c>
      <c r="V40" s="19">
        <v>0.98</v>
      </c>
      <c r="W40" s="25"/>
    </row>
    <row r="41" spans="1:23" ht="15.75" x14ac:dyDescent="0.25">
      <c r="A41" s="12">
        <v>33</v>
      </c>
      <c r="B41" s="22" t="s">
        <v>291</v>
      </c>
      <c r="C41" s="19" t="s">
        <v>124</v>
      </c>
      <c r="D41" s="19" t="s">
        <v>124</v>
      </c>
      <c r="E41" s="12">
        <v>2347.6999999999998</v>
      </c>
      <c r="F41" s="17">
        <f t="shared" ref="F41:F48" si="278">E40</f>
        <v>2287</v>
      </c>
      <c r="G41" s="19">
        <f t="shared" ref="G41:G48" si="279">E41-F41</f>
        <v>60.699999999999818</v>
      </c>
      <c r="H41" s="91">
        <f t="shared" si="86"/>
        <v>1</v>
      </c>
      <c r="I41" s="19">
        <f t="shared" ref="I41:I48" si="280">G41*H41</f>
        <v>60.699999999999818</v>
      </c>
      <c r="J41" s="12">
        <v>7298.1</v>
      </c>
      <c r="K41" s="17">
        <f t="shared" ref="K41:K48" si="281">J40</f>
        <v>7030.2</v>
      </c>
      <c r="L41" s="19">
        <f t="shared" ref="L41:L48" si="282">J41-K41</f>
        <v>267.90000000000055</v>
      </c>
      <c r="M41" s="17">
        <f t="shared" si="89"/>
        <v>1</v>
      </c>
      <c r="N41" s="19">
        <f t="shared" ref="N41:N48" si="283">L41*M41</f>
        <v>267.90000000000055</v>
      </c>
      <c r="O41" s="17">
        <f t="shared" ref="O41:O48" si="284">N41-I41</f>
        <v>207.20000000000073</v>
      </c>
      <c r="P41" s="12">
        <v>10295</v>
      </c>
      <c r="Q41" s="17">
        <f t="shared" ref="Q41:Q48" si="285">P40</f>
        <v>9937.7999999999993</v>
      </c>
      <c r="R41" s="19">
        <f t="shared" ref="R41:R48" si="286">P41-Q41</f>
        <v>357.20000000000073</v>
      </c>
      <c r="S41" s="17">
        <f t="shared" si="93"/>
        <v>1</v>
      </c>
      <c r="T41" s="19">
        <f t="shared" ref="T41:T48" si="287">R41*S41</f>
        <v>357.20000000000073</v>
      </c>
      <c r="U41" s="19">
        <v>1.69</v>
      </c>
      <c r="V41" s="19">
        <v>0.99</v>
      </c>
      <c r="W41" s="25"/>
    </row>
    <row r="42" spans="1:23" ht="15.75" x14ac:dyDescent="0.25">
      <c r="A42" s="12">
        <v>34</v>
      </c>
      <c r="B42" s="22" t="s">
        <v>292</v>
      </c>
      <c r="C42" s="19" t="s">
        <v>124</v>
      </c>
      <c r="D42" s="19" t="s">
        <v>124</v>
      </c>
      <c r="E42" s="12">
        <v>2419.4</v>
      </c>
      <c r="F42" s="17">
        <f t="shared" si="278"/>
        <v>2347.6999999999998</v>
      </c>
      <c r="G42" s="19">
        <f t="shared" si="279"/>
        <v>71.700000000000273</v>
      </c>
      <c r="H42" s="91">
        <f t="shared" si="86"/>
        <v>1</v>
      </c>
      <c r="I42" s="19">
        <f t="shared" si="280"/>
        <v>71.700000000000273</v>
      </c>
      <c r="J42" s="12">
        <v>7595.4</v>
      </c>
      <c r="K42" s="17">
        <f t="shared" si="281"/>
        <v>7298.1</v>
      </c>
      <c r="L42" s="19">
        <f t="shared" si="282"/>
        <v>297.29999999999927</v>
      </c>
      <c r="M42" s="17">
        <f t="shared" si="89"/>
        <v>1</v>
      </c>
      <c r="N42" s="19">
        <f t="shared" si="283"/>
        <v>297.29999999999927</v>
      </c>
      <c r="O42" s="17">
        <f t="shared" si="284"/>
        <v>225.599999999999</v>
      </c>
      <c r="P42" s="12">
        <v>10640.6</v>
      </c>
      <c r="Q42" s="17">
        <f t="shared" si="285"/>
        <v>10295</v>
      </c>
      <c r="R42" s="19">
        <f t="shared" si="286"/>
        <v>345.60000000000036</v>
      </c>
      <c r="S42" s="17">
        <f t="shared" si="93"/>
        <v>1</v>
      </c>
      <c r="T42" s="19">
        <f t="shared" si="287"/>
        <v>345.60000000000036</v>
      </c>
      <c r="U42" s="19">
        <v>1.68</v>
      </c>
      <c r="V42" s="19">
        <v>0.99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124</v>
      </c>
      <c r="D44" s="19" t="s">
        <v>124</v>
      </c>
      <c r="E44" s="12">
        <v>2457.6</v>
      </c>
      <c r="F44" s="17">
        <f>E42</f>
        <v>2419.4</v>
      </c>
      <c r="G44" s="19">
        <f t="shared" si="279"/>
        <v>38.199999999999818</v>
      </c>
      <c r="H44" s="91">
        <f>H42</f>
        <v>1</v>
      </c>
      <c r="I44" s="19">
        <f t="shared" si="280"/>
        <v>38.199999999999818</v>
      </c>
      <c r="J44" s="12">
        <v>7920.2</v>
      </c>
      <c r="K44" s="17">
        <f>J42</f>
        <v>7595.4</v>
      </c>
      <c r="L44" s="19">
        <f t="shared" si="282"/>
        <v>324.80000000000018</v>
      </c>
      <c r="M44" s="17">
        <f>M42</f>
        <v>1</v>
      </c>
      <c r="N44" s="19">
        <f t="shared" si="283"/>
        <v>324.80000000000018</v>
      </c>
      <c r="O44" s="17">
        <f t="shared" si="284"/>
        <v>286.60000000000036</v>
      </c>
      <c r="P44" s="12">
        <v>11045.3</v>
      </c>
      <c r="Q44" s="17">
        <f>P42</f>
        <v>10640.6</v>
      </c>
      <c r="R44" s="19">
        <f t="shared" si="286"/>
        <v>404.69999999999891</v>
      </c>
      <c r="S44" s="17">
        <f>S42</f>
        <v>1</v>
      </c>
      <c r="T44" s="19">
        <f t="shared" si="287"/>
        <v>404.69999999999891</v>
      </c>
      <c r="U44" s="19">
        <v>1.57</v>
      </c>
      <c r="V44" s="19">
        <v>0.99</v>
      </c>
      <c r="W44" s="25"/>
    </row>
    <row r="45" spans="1:23" ht="15.75" x14ac:dyDescent="0.25">
      <c r="A45" s="12">
        <v>36</v>
      </c>
      <c r="B45" s="22" t="s">
        <v>294</v>
      </c>
      <c r="C45" s="19" t="s">
        <v>124</v>
      </c>
      <c r="D45" s="19" t="s">
        <v>124</v>
      </c>
      <c r="E45" s="12">
        <v>2514.1</v>
      </c>
      <c r="F45" s="17">
        <f t="shared" si="278"/>
        <v>2457.6</v>
      </c>
      <c r="G45" s="19">
        <f t="shared" si="279"/>
        <v>56.5</v>
      </c>
      <c r="H45" s="91">
        <f t="shared" si="86"/>
        <v>1</v>
      </c>
      <c r="I45" s="19">
        <f t="shared" si="280"/>
        <v>56.5</v>
      </c>
      <c r="J45" s="12">
        <v>8156.9</v>
      </c>
      <c r="K45" s="17">
        <f t="shared" si="281"/>
        <v>7920.2</v>
      </c>
      <c r="L45" s="19">
        <f t="shared" si="282"/>
        <v>236.69999999999982</v>
      </c>
      <c r="M45" s="17">
        <f t="shared" si="89"/>
        <v>1</v>
      </c>
      <c r="N45" s="19">
        <f t="shared" si="283"/>
        <v>236.69999999999982</v>
      </c>
      <c r="O45" s="17">
        <f t="shared" si="284"/>
        <v>180.19999999999982</v>
      </c>
      <c r="P45" s="12">
        <v>11302.1</v>
      </c>
      <c r="Q45" s="17">
        <f t="shared" si="285"/>
        <v>11045.3</v>
      </c>
      <c r="R45" s="19">
        <f t="shared" si="286"/>
        <v>256.80000000000109</v>
      </c>
      <c r="S45" s="17">
        <f t="shared" si="93"/>
        <v>1</v>
      </c>
      <c r="T45" s="19">
        <f t="shared" si="287"/>
        <v>256.80000000000109</v>
      </c>
      <c r="U45" s="19">
        <v>1.69</v>
      </c>
      <c r="V45" s="19">
        <v>0.98</v>
      </c>
      <c r="W45" s="25"/>
    </row>
    <row r="46" spans="1:23" ht="15.75" x14ac:dyDescent="0.25">
      <c r="A46" s="12">
        <v>37</v>
      </c>
      <c r="B46" s="22" t="s">
        <v>295</v>
      </c>
      <c r="C46" s="19" t="s">
        <v>124</v>
      </c>
      <c r="D46" s="19" t="s">
        <v>124</v>
      </c>
      <c r="E46" s="12">
        <v>2576.6999999999998</v>
      </c>
      <c r="F46" s="17">
        <f t="shared" si="278"/>
        <v>2514.1</v>
      </c>
      <c r="G46" s="19">
        <f t="shared" si="279"/>
        <v>62.599999999999909</v>
      </c>
      <c r="H46" s="91">
        <f t="shared" si="86"/>
        <v>1</v>
      </c>
      <c r="I46" s="19">
        <f t="shared" si="280"/>
        <v>62.599999999999909</v>
      </c>
      <c r="J46" s="12">
        <v>8387.6</v>
      </c>
      <c r="K46" s="17">
        <f t="shared" si="281"/>
        <v>8156.9</v>
      </c>
      <c r="L46" s="19">
        <f t="shared" si="282"/>
        <v>230.70000000000073</v>
      </c>
      <c r="M46" s="17">
        <f t="shared" si="89"/>
        <v>1</v>
      </c>
      <c r="N46" s="19">
        <f t="shared" si="283"/>
        <v>230.70000000000073</v>
      </c>
      <c r="O46" s="17">
        <f t="shared" si="284"/>
        <v>168.10000000000082</v>
      </c>
      <c r="P46" s="12">
        <v>11602.5</v>
      </c>
      <c r="Q46" s="17">
        <f t="shared" si="285"/>
        <v>11302.1</v>
      </c>
      <c r="R46" s="19">
        <f t="shared" si="286"/>
        <v>300.39999999999964</v>
      </c>
      <c r="S46" s="17">
        <f t="shared" si="93"/>
        <v>1</v>
      </c>
      <c r="T46" s="19">
        <f t="shared" si="287"/>
        <v>300.39999999999964</v>
      </c>
      <c r="U46" s="19">
        <v>0.74</v>
      </c>
      <c r="V46" s="19">
        <v>0.98</v>
      </c>
      <c r="W46" s="25"/>
    </row>
    <row r="47" spans="1:23" ht="15.75" x14ac:dyDescent="0.25">
      <c r="A47" s="12">
        <v>38</v>
      </c>
      <c r="B47" s="22" t="s">
        <v>296</v>
      </c>
      <c r="C47" s="19" t="s">
        <v>124</v>
      </c>
      <c r="D47" s="19" t="s">
        <v>124</v>
      </c>
      <c r="E47" s="12">
        <v>2646.7</v>
      </c>
      <c r="F47" s="17">
        <f t="shared" si="278"/>
        <v>2576.6999999999998</v>
      </c>
      <c r="G47" s="19">
        <f t="shared" si="279"/>
        <v>70</v>
      </c>
      <c r="H47" s="91">
        <f t="shared" si="86"/>
        <v>1</v>
      </c>
      <c r="I47" s="19">
        <f t="shared" si="280"/>
        <v>70</v>
      </c>
      <c r="J47" s="12">
        <v>8580.9</v>
      </c>
      <c r="K47" s="17">
        <f t="shared" si="281"/>
        <v>8387.6</v>
      </c>
      <c r="L47" s="19">
        <f t="shared" si="282"/>
        <v>193.29999999999927</v>
      </c>
      <c r="M47" s="17">
        <f t="shared" si="89"/>
        <v>1</v>
      </c>
      <c r="N47" s="19">
        <f t="shared" si="283"/>
        <v>193.29999999999927</v>
      </c>
      <c r="O47" s="17">
        <f t="shared" si="284"/>
        <v>123.29999999999927</v>
      </c>
      <c r="P47" s="12">
        <v>11854.5</v>
      </c>
      <c r="Q47" s="17">
        <f t="shared" si="285"/>
        <v>11602.5</v>
      </c>
      <c r="R47" s="19">
        <f t="shared" si="286"/>
        <v>252</v>
      </c>
      <c r="S47" s="17">
        <f t="shared" si="93"/>
        <v>1</v>
      </c>
      <c r="T47" s="19">
        <f t="shared" si="287"/>
        <v>252</v>
      </c>
      <c r="U47" s="19">
        <v>1.49</v>
      </c>
      <c r="V47" s="19">
        <v>0.97</v>
      </c>
      <c r="W47" s="25"/>
    </row>
    <row r="48" spans="1:23" ht="15.75" x14ac:dyDescent="0.25">
      <c r="A48" s="12">
        <v>39</v>
      </c>
      <c r="B48" s="22" t="s">
        <v>297</v>
      </c>
      <c r="C48" s="19" t="s">
        <v>124</v>
      </c>
      <c r="D48" s="19" t="s">
        <v>124</v>
      </c>
      <c r="E48" s="12">
        <v>2717.2</v>
      </c>
      <c r="F48" s="17">
        <f t="shared" si="278"/>
        <v>2646.7</v>
      </c>
      <c r="G48" s="19">
        <f t="shared" si="279"/>
        <v>70.5</v>
      </c>
      <c r="H48" s="91">
        <f t="shared" si="86"/>
        <v>1</v>
      </c>
      <c r="I48" s="19">
        <f t="shared" si="280"/>
        <v>70.5</v>
      </c>
      <c r="J48" s="12">
        <v>8793</v>
      </c>
      <c r="K48" s="17">
        <f t="shared" si="281"/>
        <v>8580.9</v>
      </c>
      <c r="L48" s="19">
        <f t="shared" si="282"/>
        <v>212.10000000000036</v>
      </c>
      <c r="M48" s="17">
        <f t="shared" si="89"/>
        <v>1</v>
      </c>
      <c r="N48" s="19">
        <f t="shared" si="283"/>
        <v>212.10000000000036</v>
      </c>
      <c r="O48" s="17">
        <f t="shared" si="284"/>
        <v>141.60000000000036</v>
      </c>
      <c r="P48" s="12">
        <v>12136.5</v>
      </c>
      <c r="Q48" s="17">
        <f t="shared" si="285"/>
        <v>11854.5</v>
      </c>
      <c r="R48" s="19">
        <f t="shared" si="286"/>
        <v>282</v>
      </c>
      <c r="S48" s="17">
        <f t="shared" si="93"/>
        <v>1</v>
      </c>
      <c r="T48" s="19">
        <f t="shared" si="287"/>
        <v>282</v>
      </c>
      <c r="U48" s="19">
        <v>1.8</v>
      </c>
      <c r="V48" s="19">
        <v>0.97</v>
      </c>
      <c r="W48" s="25"/>
    </row>
    <row r="49" spans="1:23" ht="15.75" x14ac:dyDescent="0.25">
      <c r="A49" s="12">
        <v>40</v>
      </c>
      <c r="B49" s="22" t="s">
        <v>298</v>
      </c>
      <c r="C49" s="19" t="s">
        <v>124</v>
      </c>
      <c r="D49" s="19" t="s">
        <v>124</v>
      </c>
      <c r="E49" s="12">
        <v>2785.8</v>
      </c>
      <c r="F49" s="17">
        <f t="shared" ref="F49" si="288">E48</f>
        <v>2717.2</v>
      </c>
      <c r="G49" s="19">
        <f t="shared" ref="G49" si="289">E49-F49</f>
        <v>68.600000000000364</v>
      </c>
      <c r="H49" s="91">
        <f t="shared" si="86"/>
        <v>1</v>
      </c>
      <c r="I49" s="19">
        <f t="shared" ref="I49" si="290">G49*H49</f>
        <v>68.600000000000364</v>
      </c>
      <c r="J49" s="12">
        <v>9068.2000000000007</v>
      </c>
      <c r="K49" s="17">
        <f t="shared" ref="K49" si="291">J48</f>
        <v>8793</v>
      </c>
      <c r="L49" s="19">
        <f t="shared" ref="L49" si="292">J49-K49</f>
        <v>275.20000000000073</v>
      </c>
      <c r="M49" s="17">
        <f t="shared" si="89"/>
        <v>1</v>
      </c>
      <c r="N49" s="19">
        <f t="shared" ref="N49" si="293">L49*M49</f>
        <v>275.20000000000073</v>
      </c>
      <c r="O49" s="17">
        <f t="shared" ref="O49" si="294">N49-I49</f>
        <v>206.60000000000036</v>
      </c>
      <c r="P49" s="12">
        <v>12468</v>
      </c>
      <c r="Q49" s="17">
        <f t="shared" ref="Q49" si="295">P48</f>
        <v>12136.5</v>
      </c>
      <c r="R49" s="19">
        <f t="shared" ref="R49" si="296">P49-Q49</f>
        <v>331.5</v>
      </c>
      <c r="S49" s="17">
        <f t="shared" si="93"/>
        <v>1</v>
      </c>
      <c r="T49" s="19">
        <f t="shared" ref="T49" si="297">R49*S49</f>
        <v>331.5</v>
      </c>
      <c r="U49" s="19">
        <v>1.66</v>
      </c>
      <c r="V49" s="19">
        <v>0.98</v>
      </c>
      <c r="W49" s="25"/>
    </row>
    <row r="50" spans="1:23" ht="15.75" x14ac:dyDescent="0.25">
      <c r="A50" s="12">
        <v>41</v>
      </c>
      <c r="B50" s="22" t="s">
        <v>299</v>
      </c>
      <c r="C50" s="19" t="s">
        <v>124</v>
      </c>
      <c r="D50" s="19" t="s">
        <v>124</v>
      </c>
      <c r="E50" s="12">
        <v>2853.1</v>
      </c>
      <c r="F50" s="17">
        <f t="shared" ref="F50" si="298">E49</f>
        <v>2785.8</v>
      </c>
      <c r="G50" s="19">
        <f t="shared" ref="G50" si="299">E50-F50</f>
        <v>67.299999999999727</v>
      </c>
      <c r="H50" s="91">
        <f t="shared" si="86"/>
        <v>1</v>
      </c>
      <c r="I50" s="19">
        <f t="shared" ref="I50" si="300">G50*H50</f>
        <v>67.299999999999727</v>
      </c>
      <c r="J50" s="12">
        <v>9347</v>
      </c>
      <c r="K50" s="17">
        <f t="shared" ref="K50" si="301">J49</f>
        <v>9068.2000000000007</v>
      </c>
      <c r="L50" s="19">
        <f t="shared" ref="L50" si="302">J50-K50</f>
        <v>278.79999999999927</v>
      </c>
      <c r="M50" s="17">
        <f t="shared" si="89"/>
        <v>1</v>
      </c>
      <c r="N50" s="19">
        <f t="shared" ref="N50" si="303">L50*M50</f>
        <v>278.79999999999927</v>
      </c>
      <c r="O50" s="17">
        <f t="shared" ref="O50" si="304">N50-I50</f>
        <v>211.49999999999955</v>
      </c>
      <c r="P50" s="12">
        <v>12819</v>
      </c>
      <c r="Q50" s="17">
        <f t="shared" ref="Q50" si="305">P49</f>
        <v>12468</v>
      </c>
      <c r="R50" s="19">
        <f t="shared" ref="R50" si="306">P50-Q50</f>
        <v>351</v>
      </c>
      <c r="S50" s="17">
        <f t="shared" si="93"/>
        <v>1</v>
      </c>
      <c r="T50" s="19">
        <f t="shared" ref="T50" si="307">R50*S50</f>
        <v>351</v>
      </c>
      <c r="U50" s="19">
        <v>1.79</v>
      </c>
      <c r="V50" s="19">
        <v>0.97</v>
      </c>
      <c r="W50" s="25"/>
    </row>
    <row r="51" spans="1:23" ht="15.75" x14ac:dyDescent="0.25">
      <c r="A51" s="12">
        <v>42</v>
      </c>
      <c r="B51" s="22" t="s">
        <v>300</v>
      </c>
      <c r="C51" s="19" t="s">
        <v>124</v>
      </c>
      <c r="D51" s="19" t="s">
        <v>124</v>
      </c>
      <c r="E51" s="12">
        <v>2921.2</v>
      </c>
      <c r="F51" s="17">
        <f t="shared" ref="F51:F54" si="308">E50</f>
        <v>2853.1</v>
      </c>
      <c r="G51" s="19">
        <f t="shared" ref="G51:G54" si="309">E51-F51</f>
        <v>68.099999999999909</v>
      </c>
      <c r="H51" s="91">
        <f t="shared" si="86"/>
        <v>1</v>
      </c>
      <c r="I51" s="19">
        <f t="shared" ref="I51:I54" si="310">G51*H51</f>
        <v>68.099999999999909</v>
      </c>
      <c r="J51" s="12">
        <v>9591.7999999999993</v>
      </c>
      <c r="K51" s="17">
        <f t="shared" ref="K51:K54" si="311">J50</f>
        <v>9347</v>
      </c>
      <c r="L51" s="19">
        <f t="shared" ref="L51:L54" si="312">J51-K51</f>
        <v>244.79999999999927</v>
      </c>
      <c r="M51" s="17">
        <f t="shared" si="89"/>
        <v>1</v>
      </c>
      <c r="N51" s="19">
        <f t="shared" ref="N51:N54" si="313">L51*M51</f>
        <v>244.79999999999927</v>
      </c>
      <c r="O51" s="17">
        <f t="shared" ref="O51:O54" si="314">N51-I51</f>
        <v>176.69999999999936</v>
      </c>
      <c r="P51" s="12">
        <v>13118.5</v>
      </c>
      <c r="Q51" s="17">
        <f t="shared" ref="Q51:Q54" si="315">P50</f>
        <v>12819</v>
      </c>
      <c r="R51" s="19">
        <f t="shared" ref="R51:R54" si="316">P51-Q51</f>
        <v>299.5</v>
      </c>
      <c r="S51" s="17">
        <f t="shared" si="93"/>
        <v>1</v>
      </c>
      <c r="T51" s="19">
        <f t="shared" ref="T51:T54" si="317">R51*S51</f>
        <v>299.5</v>
      </c>
      <c r="U51" s="19">
        <v>0.62</v>
      </c>
      <c r="V51" s="19">
        <v>0.98</v>
      </c>
      <c r="W51" s="25"/>
    </row>
    <row r="52" spans="1:23" ht="15.75" x14ac:dyDescent="0.25">
      <c r="A52" s="12">
        <v>43</v>
      </c>
      <c r="B52" s="22" t="s">
        <v>301</v>
      </c>
      <c r="C52" s="19" t="s">
        <v>124</v>
      </c>
      <c r="D52" s="19" t="s">
        <v>124</v>
      </c>
      <c r="E52" s="12">
        <v>2994.7</v>
      </c>
      <c r="F52" s="17">
        <f t="shared" si="308"/>
        <v>2921.2</v>
      </c>
      <c r="G52" s="19">
        <f t="shared" si="309"/>
        <v>73.5</v>
      </c>
      <c r="H52" s="91">
        <f t="shared" si="86"/>
        <v>1</v>
      </c>
      <c r="I52" s="19">
        <f t="shared" si="310"/>
        <v>73.5</v>
      </c>
      <c r="J52" s="12">
        <v>9844.7999999999993</v>
      </c>
      <c r="K52" s="17">
        <f t="shared" si="311"/>
        <v>9591.7999999999993</v>
      </c>
      <c r="L52" s="19">
        <f t="shared" si="312"/>
        <v>253</v>
      </c>
      <c r="M52" s="17">
        <f t="shared" si="89"/>
        <v>1</v>
      </c>
      <c r="N52" s="19">
        <f t="shared" si="313"/>
        <v>253</v>
      </c>
      <c r="O52" s="17">
        <f t="shared" si="314"/>
        <v>179.5</v>
      </c>
      <c r="P52" s="12">
        <v>13447.5</v>
      </c>
      <c r="Q52" s="17">
        <f t="shared" si="315"/>
        <v>13118.5</v>
      </c>
      <c r="R52" s="19">
        <f t="shared" si="316"/>
        <v>329</v>
      </c>
      <c r="S52" s="17">
        <f t="shared" si="93"/>
        <v>1</v>
      </c>
      <c r="T52" s="19">
        <f t="shared" si="317"/>
        <v>329</v>
      </c>
      <c r="U52" s="19">
        <v>1.7</v>
      </c>
      <c r="V52" s="19">
        <v>0.93</v>
      </c>
      <c r="W52" s="25"/>
    </row>
    <row r="53" spans="1:23" ht="15.75" x14ac:dyDescent="0.25">
      <c r="A53" s="105">
        <v>44</v>
      </c>
      <c r="B53" s="22" t="s">
        <v>302</v>
      </c>
      <c r="C53" s="111" t="s">
        <v>124</v>
      </c>
      <c r="D53" s="111" t="s">
        <v>124</v>
      </c>
      <c r="E53" s="105">
        <v>3033.6</v>
      </c>
      <c r="F53" s="106">
        <f t="shared" si="308"/>
        <v>2994.7</v>
      </c>
      <c r="G53" s="111">
        <f t="shared" si="309"/>
        <v>38.900000000000091</v>
      </c>
      <c r="H53" s="91">
        <f t="shared" si="86"/>
        <v>1</v>
      </c>
      <c r="I53" s="111">
        <f t="shared" si="310"/>
        <v>38.900000000000091</v>
      </c>
      <c r="J53" s="105">
        <v>10169.299999999999</v>
      </c>
      <c r="K53" s="106">
        <f t="shared" si="311"/>
        <v>9844.7999999999993</v>
      </c>
      <c r="L53" s="111">
        <f t="shared" si="312"/>
        <v>324.5</v>
      </c>
      <c r="M53" s="106">
        <f t="shared" si="89"/>
        <v>1</v>
      </c>
      <c r="N53" s="111">
        <f t="shared" si="313"/>
        <v>324.5</v>
      </c>
      <c r="O53" s="106">
        <f t="shared" si="314"/>
        <v>285.59999999999991</v>
      </c>
      <c r="P53" s="105">
        <v>13805</v>
      </c>
      <c r="Q53" s="106">
        <f t="shared" si="315"/>
        <v>13447.5</v>
      </c>
      <c r="R53" s="111">
        <f t="shared" si="316"/>
        <v>357.5</v>
      </c>
      <c r="S53" s="106">
        <f t="shared" si="93"/>
        <v>1</v>
      </c>
      <c r="T53" s="111">
        <f t="shared" si="317"/>
        <v>357.5</v>
      </c>
      <c r="U53" s="111">
        <v>0.28000000000000003</v>
      </c>
      <c r="V53" s="111">
        <v>0.94</v>
      </c>
      <c r="W53" s="25"/>
    </row>
    <row r="54" spans="1:23" ht="15.75" x14ac:dyDescent="0.25">
      <c r="A54" s="105">
        <v>45</v>
      </c>
      <c r="B54" s="22" t="s">
        <v>303</v>
      </c>
      <c r="C54" s="111" t="s">
        <v>124</v>
      </c>
      <c r="D54" s="111" t="s">
        <v>124</v>
      </c>
      <c r="E54" s="105">
        <v>3067.3</v>
      </c>
      <c r="F54" s="106">
        <f t="shared" si="308"/>
        <v>3033.6</v>
      </c>
      <c r="G54" s="111">
        <f t="shared" si="309"/>
        <v>33.700000000000273</v>
      </c>
      <c r="H54" s="91">
        <f t="shared" si="86"/>
        <v>1</v>
      </c>
      <c r="I54" s="111">
        <f t="shared" si="310"/>
        <v>33.700000000000273</v>
      </c>
      <c r="J54" s="105">
        <v>10478.299999999999</v>
      </c>
      <c r="K54" s="106">
        <f t="shared" si="311"/>
        <v>10169.299999999999</v>
      </c>
      <c r="L54" s="111">
        <f t="shared" si="312"/>
        <v>309</v>
      </c>
      <c r="M54" s="106">
        <f t="shared" si="89"/>
        <v>1</v>
      </c>
      <c r="N54" s="111">
        <f t="shared" si="313"/>
        <v>309</v>
      </c>
      <c r="O54" s="106">
        <f t="shared" si="314"/>
        <v>275.29999999999973</v>
      </c>
      <c r="P54" s="105">
        <v>14171.7</v>
      </c>
      <c r="Q54" s="106">
        <f t="shared" si="315"/>
        <v>13805</v>
      </c>
      <c r="R54" s="111">
        <f t="shared" si="316"/>
        <v>366.70000000000073</v>
      </c>
      <c r="S54" s="106">
        <f t="shared" si="93"/>
        <v>1</v>
      </c>
      <c r="T54" s="111">
        <f t="shared" si="317"/>
        <v>366.70000000000073</v>
      </c>
      <c r="U54" s="111">
        <v>1.67</v>
      </c>
      <c r="V54" s="111">
        <v>0.99</v>
      </c>
      <c r="W54" s="25"/>
    </row>
    <row r="55" spans="1:23" ht="15.75" x14ac:dyDescent="0.25">
      <c r="A55" s="120">
        <v>46</v>
      </c>
      <c r="B55" s="116" t="s">
        <v>305</v>
      </c>
      <c r="C55" s="118" t="s">
        <v>124</v>
      </c>
      <c r="D55" s="118" t="s">
        <v>124</v>
      </c>
      <c r="E55" s="120">
        <v>3115.3</v>
      </c>
      <c r="F55" s="119">
        <f t="shared" ref="F55" si="318">E54</f>
        <v>3067.3</v>
      </c>
      <c r="G55" s="118">
        <f t="shared" ref="G55" si="319">E55-F55</f>
        <v>48</v>
      </c>
      <c r="H55" s="91">
        <f t="shared" si="86"/>
        <v>1</v>
      </c>
      <c r="I55" s="118">
        <f t="shared" ref="I55" si="320">G55*H55</f>
        <v>48</v>
      </c>
      <c r="J55" s="120">
        <v>10786.5</v>
      </c>
      <c r="K55" s="119">
        <f t="shared" ref="K55" si="321">J54</f>
        <v>10478.299999999999</v>
      </c>
      <c r="L55" s="118">
        <f t="shared" ref="L55" si="322">J55-K55</f>
        <v>308.20000000000073</v>
      </c>
      <c r="M55" s="119">
        <f t="shared" si="89"/>
        <v>1</v>
      </c>
      <c r="N55" s="118">
        <f t="shared" ref="N55" si="323">L55*M55</f>
        <v>308.20000000000073</v>
      </c>
      <c r="O55" s="119">
        <f t="shared" ref="O55" si="324">N55-I55</f>
        <v>260.20000000000073</v>
      </c>
      <c r="P55" s="120">
        <v>14557.5</v>
      </c>
      <c r="Q55" s="119">
        <f t="shared" ref="Q55" si="325">P54</f>
        <v>14171.7</v>
      </c>
      <c r="R55" s="118">
        <f t="shared" ref="R55" si="326">P55-Q55</f>
        <v>385.79999999999927</v>
      </c>
      <c r="S55" s="119">
        <f t="shared" si="93"/>
        <v>1</v>
      </c>
      <c r="T55" s="118">
        <f t="shared" ref="T55" si="327">R55*S55</f>
        <v>385.79999999999927</v>
      </c>
      <c r="U55" s="118">
        <v>0.97</v>
      </c>
      <c r="V55" s="118">
        <v>0.99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124</v>
      </c>
      <c r="D57" s="123" t="s">
        <v>124</v>
      </c>
      <c r="E57" s="125">
        <v>3192.9</v>
      </c>
      <c r="F57" s="124">
        <f t="shared" ref="F57" si="328">E55</f>
        <v>3115.3</v>
      </c>
      <c r="G57" s="123">
        <f t="shared" ref="G57" si="329">E57-F57</f>
        <v>77.599999999999909</v>
      </c>
      <c r="H57" s="91">
        <f>H55</f>
        <v>1</v>
      </c>
      <c r="I57" s="123">
        <f t="shared" ref="I57" si="330">G57*H57</f>
        <v>77.599999999999909</v>
      </c>
      <c r="J57" s="125">
        <v>11088.3</v>
      </c>
      <c r="K57" s="124">
        <f t="shared" ref="K57" si="331">J55</f>
        <v>10786.5</v>
      </c>
      <c r="L57" s="123">
        <f t="shared" ref="L57" si="332">J57-K57</f>
        <v>301.79999999999927</v>
      </c>
      <c r="M57" s="124">
        <f>M55</f>
        <v>1</v>
      </c>
      <c r="N57" s="123">
        <f t="shared" ref="N57" si="333">L57*M57</f>
        <v>301.79999999999927</v>
      </c>
      <c r="O57" s="124">
        <f t="shared" ref="O57" si="334">N57-I57</f>
        <v>224.19999999999936</v>
      </c>
      <c r="P57" s="125">
        <v>14920.6</v>
      </c>
      <c r="Q57" s="124">
        <f t="shared" ref="Q57" si="335">P55</f>
        <v>14557.5</v>
      </c>
      <c r="R57" s="123">
        <f t="shared" ref="R57" si="336">P57-Q57</f>
        <v>363.10000000000036</v>
      </c>
      <c r="S57" s="124">
        <f>S55</f>
        <v>1</v>
      </c>
      <c r="T57" s="123">
        <f t="shared" ref="T57" si="337">R57*S57</f>
        <v>363.10000000000036</v>
      </c>
      <c r="U57" s="123">
        <v>0.46</v>
      </c>
      <c r="V57" s="123">
        <v>0.99</v>
      </c>
      <c r="W57" s="25"/>
    </row>
    <row r="58" spans="1:23" ht="15.75" x14ac:dyDescent="0.25">
      <c r="A58" s="126">
        <v>48</v>
      </c>
      <c r="B58" s="116" t="s">
        <v>307</v>
      </c>
      <c r="C58" s="129" t="s">
        <v>124</v>
      </c>
      <c r="D58" s="129" t="s">
        <v>124</v>
      </c>
      <c r="E58" s="126">
        <v>3275.4</v>
      </c>
      <c r="F58" s="127">
        <f t="shared" ref="F58" si="338">E57</f>
        <v>3192.9</v>
      </c>
      <c r="G58" s="129">
        <f t="shared" ref="G58" si="339">E58-F58</f>
        <v>82.5</v>
      </c>
      <c r="H58" s="91">
        <f t="shared" si="86"/>
        <v>1</v>
      </c>
      <c r="I58" s="129">
        <f t="shared" ref="I58" si="340">G58*H58</f>
        <v>82.5</v>
      </c>
      <c r="J58" s="126">
        <v>11373.3</v>
      </c>
      <c r="K58" s="127">
        <f t="shared" ref="K58" si="341">J57</f>
        <v>11088.3</v>
      </c>
      <c r="L58" s="129">
        <f t="shared" ref="L58" si="342">J58-K58</f>
        <v>285</v>
      </c>
      <c r="M58" s="127">
        <f t="shared" si="89"/>
        <v>1</v>
      </c>
      <c r="N58" s="129">
        <f t="shared" ref="N58" si="343">L58*M58</f>
        <v>285</v>
      </c>
      <c r="O58" s="127">
        <f t="shared" ref="O58" si="344">N58-I58</f>
        <v>202.5</v>
      </c>
      <c r="P58" s="126">
        <v>15278.2</v>
      </c>
      <c r="Q58" s="127">
        <f t="shared" ref="Q58" si="345">P57</f>
        <v>14920.6</v>
      </c>
      <c r="R58" s="129">
        <f t="shared" ref="R58" si="346">P58-Q58</f>
        <v>357.60000000000036</v>
      </c>
      <c r="S58" s="127">
        <f t="shared" si="93"/>
        <v>1</v>
      </c>
      <c r="T58" s="129">
        <f t="shared" ref="T58" si="347">R58*S58</f>
        <v>357.60000000000036</v>
      </c>
      <c r="U58" s="129">
        <v>1.73</v>
      </c>
      <c r="V58" s="129">
        <v>0.99</v>
      </c>
      <c r="W58" s="25"/>
    </row>
    <row r="59" spans="1:23" ht="15.75" x14ac:dyDescent="0.25">
      <c r="A59" s="135">
        <v>49</v>
      </c>
      <c r="B59" s="116" t="s">
        <v>309</v>
      </c>
      <c r="C59" s="138" t="s">
        <v>124</v>
      </c>
      <c r="D59" s="138" t="s">
        <v>124</v>
      </c>
      <c r="E59" s="135">
        <v>3358</v>
      </c>
      <c r="F59" s="136">
        <f t="shared" ref="F59" si="348">E58</f>
        <v>3275.4</v>
      </c>
      <c r="G59" s="138">
        <f t="shared" ref="G59:G61" si="349">E59-F59</f>
        <v>82.599999999999909</v>
      </c>
      <c r="H59" s="91">
        <f t="shared" si="86"/>
        <v>1</v>
      </c>
      <c r="I59" s="138">
        <f t="shared" ref="I59:I61" si="350">G59*H59</f>
        <v>82.599999999999909</v>
      </c>
      <c r="J59" s="135">
        <v>11627.8</v>
      </c>
      <c r="K59" s="136">
        <f t="shared" ref="K59" si="351">J58</f>
        <v>11373.3</v>
      </c>
      <c r="L59" s="138">
        <f t="shared" ref="L59:L61" si="352">J59-K59</f>
        <v>254.5</v>
      </c>
      <c r="M59" s="136">
        <f t="shared" si="89"/>
        <v>1</v>
      </c>
      <c r="N59" s="138">
        <f t="shared" ref="N59:N61" si="353">L59*M59</f>
        <v>254.5</v>
      </c>
      <c r="O59" s="136">
        <f t="shared" ref="O59:O61" si="354">N59-I59</f>
        <v>171.90000000000009</v>
      </c>
      <c r="P59" s="135">
        <v>15601.8</v>
      </c>
      <c r="Q59" s="136">
        <f t="shared" ref="Q59" si="355">P58</f>
        <v>15278.2</v>
      </c>
      <c r="R59" s="138">
        <f t="shared" ref="R59:R61" si="356">P59-Q59</f>
        <v>323.59999999999854</v>
      </c>
      <c r="S59" s="136">
        <f t="shared" si="93"/>
        <v>1</v>
      </c>
      <c r="T59" s="138">
        <f t="shared" ref="T59:T61" si="357">R59*S59</f>
        <v>323.59999999999854</v>
      </c>
      <c r="U59" s="138">
        <v>0.52</v>
      </c>
      <c r="V59" s="138">
        <v>0.97</v>
      </c>
      <c r="W59" s="25"/>
    </row>
    <row r="60" spans="1:23" ht="15.75" x14ac:dyDescent="0.25">
      <c r="A60" s="146">
        <v>50</v>
      </c>
      <c r="B60" s="116" t="s">
        <v>310</v>
      </c>
      <c r="C60" s="144" t="s">
        <v>124</v>
      </c>
      <c r="D60" s="144" t="s">
        <v>124</v>
      </c>
      <c r="E60" s="146">
        <v>3438.7</v>
      </c>
      <c r="F60" s="145">
        <f t="shared" ref="F60" si="358">E58</f>
        <v>3275.4</v>
      </c>
      <c r="G60" s="144">
        <f t="shared" si="349"/>
        <v>163.29999999999973</v>
      </c>
      <c r="H60" s="91">
        <f>H58</f>
        <v>1</v>
      </c>
      <c r="I60" s="144">
        <f t="shared" si="350"/>
        <v>163.29999999999973</v>
      </c>
      <c r="J60" s="146">
        <v>11817.2</v>
      </c>
      <c r="K60" s="145">
        <f t="shared" ref="K60" si="359">J58</f>
        <v>11373.3</v>
      </c>
      <c r="L60" s="144">
        <f t="shared" si="352"/>
        <v>443.90000000000146</v>
      </c>
      <c r="M60" s="145">
        <f>M58</f>
        <v>1</v>
      </c>
      <c r="N60" s="144">
        <f t="shared" si="353"/>
        <v>443.90000000000146</v>
      </c>
      <c r="O60" s="145">
        <f t="shared" si="354"/>
        <v>280.60000000000173</v>
      </c>
      <c r="P60" s="146">
        <v>15857.7</v>
      </c>
      <c r="Q60" s="145">
        <f t="shared" ref="Q60" si="360">P58</f>
        <v>15278.2</v>
      </c>
      <c r="R60" s="144">
        <f t="shared" si="356"/>
        <v>579.5</v>
      </c>
      <c r="S60" s="145">
        <f>S58</f>
        <v>1</v>
      </c>
      <c r="T60" s="144">
        <f t="shared" si="357"/>
        <v>579.5</v>
      </c>
      <c r="U60" s="144">
        <v>0.85</v>
      </c>
      <c r="V60" s="144">
        <v>0.99</v>
      </c>
      <c r="W60" s="25"/>
    </row>
    <row r="61" spans="1:23" ht="15.75" x14ac:dyDescent="0.25">
      <c r="A61" s="151">
        <v>51</v>
      </c>
      <c r="B61" s="116" t="s">
        <v>316</v>
      </c>
      <c r="C61" s="149" t="s">
        <v>124</v>
      </c>
      <c r="D61" s="149" t="s">
        <v>124</v>
      </c>
      <c r="E61" s="151">
        <v>3528.5</v>
      </c>
      <c r="F61" s="150">
        <v>3438.7</v>
      </c>
      <c r="G61" s="149">
        <f t="shared" si="349"/>
        <v>89.800000000000182</v>
      </c>
      <c r="H61" s="91">
        <f>H58</f>
        <v>1</v>
      </c>
      <c r="I61" s="149">
        <f t="shared" si="350"/>
        <v>89.800000000000182</v>
      </c>
      <c r="J61" s="151">
        <v>12109.2</v>
      </c>
      <c r="K61" s="150">
        <v>11817.2</v>
      </c>
      <c r="L61" s="149">
        <f t="shared" si="352"/>
        <v>292</v>
      </c>
      <c r="M61" s="150">
        <f>M58</f>
        <v>1</v>
      </c>
      <c r="N61" s="149">
        <f t="shared" si="353"/>
        <v>292</v>
      </c>
      <c r="O61" s="150">
        <f t="shared" si="354"/>
        <v>202.19999999999982</v>
      </c>
      <c r="P61" s="151">
        <v>16242.2</v>
      </c>
      <c r="Q61" s="150">
        <v>15858</v>
      </c>
      <c r="R61" s="149">
        <f t="shared" si="356"/>
        <v>384.20000000000073</v>
      </c>
      <c r="S61" s="150">
        <f>S58</f>
        <v>1</v>
      </c>
      <c r="T61" s="149">
        <f t="shared" si="357"/>
        <v>384.20000000000073</v>
      </c>
      <c r="U61" s="149">
        <v>0.85</v>
      </c>
      <c r="V61" s="149">
        <v>0.99</v>
      </c>
      <c r="W61" s="25"/>
    </row>
    <row r="62" spans="1:23" ht="15.75" x14ac:dyDescent="0.25">
      <c r="A62" s="155">
        <v>52</v>
      </c>
      <c r="B62" s="116" t="s">
        <v>319</v>
      </c>
      <c r="C62" s="142" t="s">
        <v>124</v>
      </c>
      <c r="D62" s="142" t="s">
        <v>124</v>
      </c>
      <c r="E62" s="139">
        <v>3625.3</v>
      </c>
      <c r="F62" s="140">
        <v>3528.5</v>
      </c>
      <c r="G62" s="142">
        <f t="shared" ref="G62:G64" si="361">E62-F62</f>
        <v>96.800000000000182</v>
      </c>
      <c r="H62" s="91">
        <f>H59</f>
        <v>1</v>
      </c>
      <c r="I62" s="142">
        <f t="shared" ref="I62:I64" si="362">G62*H62</f>
        <v>96.800000000000182</v>
      </c>
      <c r="J62" s="139">
        <v>12356.9</v>
      </c>
      <c r="K62" s="140">
        <v>12109.2</v>
      </c>
      <c r="L62" s="142">
        <f t="shared" ref="L62:L64" si="363">J62-K62</f>
        <v>247.69999999999891</v>
      </c>
      <c r="M62" s="140">
        <f>M59</f>
        <v>1</v>
      </c>
      <c r="N62" s="142">
        <f t="shared" ref="N62:N64" si="364">L62*M62</f>
        <v>247.69999999999891</v>
      </c>
      <c r="O62" s="140">
        <f t="shared" ref="O62:O64" si="365">N62-I62</f>
        <v>150.89999999999873</v>
      </c>
      <c r="P62" s="139">
        <v>16586</v>
      </c>
      <c r="Q62" s="140">
        <v>16242</v>
      </c>
      <c r="R62" s="142">
        <f t="shared" ref="R62:R64" si="366">P62-Q62</f>
        <v>344</v>
      </c>
      <c r="S62" s="140">
        <f>S59</f>
        <v>1</v>
      </c>
      <c r="T62" s="142">
        <f t="shared" ref="T62:T64" si="367">R62*S62</f>
        <v>344</v>
      </c>
      <c r="U62" s="142">
        <v>1.69</v>
      </c>
      <c r="V62" s="142">
        <v>0.99</v>
      </c>
      <c r="W62" s="25"/>
    </row>
    <row r="63" spans="1:23" ht="15.75" x14ac:dyDescent="0.25">
      <c r="A63" s="170">
        <v>53</v>
      </c>
      <c r="B63" s="116" t="s">
        <v>321</v>
      </c>
      <c r="C63" s="168" t="s">
        <v>124</v>
      </c>
      <c r="D63" s="168" t="s">
        <v>124</v>
      </c>
      <c r="E63" s="170">
        <v>3725.4</v>
      </c>
      <c r="F63" s="170">
        <v>3625.3</v>
      </c>
      <c r="G63" s="168">
        <f t="shared" si="361"/>
        <v>100.09999999999991</v>
      </c>
      <c r="H63" s="91">
        <f>H59</f>
        <v>1</v>
      </c>
      <c r="I63" s="168">
        <f t="shared" si="362"/>
        <v>100.09999999999991</v>
      </c>
      <c r="J63" s="170">
        <v>12643.9</v>
      </c>
      <c r="K63" s="170">
        <v>12356.9</v>
      </c>
      <c r="L63" s="168">
        <f t="shared" si="363"/>
        <v>287</v>
      </c>
      <c r="M63" s="169">
        <f>M59</f>
        <v>1</v>
      </c>
      <c r="N63" s="168">
        <f t="shared" si="364"/>
        <v>287</v>
      </c>
      <c r="O63" s="169">
        <f t="shared" si="365"/>
        <v>186.90000000000009</v>
      </c>
      <c r="P63" s="170">
        <v>16945.8</v>
      </c>
      <c r="Q63" s="170">
        <v>16586</v>
      </c>
      <c r="R63" s="168">
        <f t="shared" si="366"/>
        <v>359.79999999999927</v>
      </c>
      <c r="S63" s="169">
        <f>S59</f>
        <v>1</v>
      </c>
      <c r="T63" s="168">
        <f t="shared" si="367"/>
        <v>359.79999999999927</v>
      </c>
      <c r="U63" s="168">
        <v>1.8</v>
      </c>
      <c r="V63" s="168">
        <v>0.99</v>
      </c>
      <c r="W63" s="25"/>
    </row>
    <row r="64" spans="1:23" ht="15.75" x14ac:dyDescent="0.25">
      <c r="A64" s="175">
        <v>54</v>
      </c>
      <c r="B64" s="116" t="s">
        <v>327</v>
      </c>
      <c r="C64" s="178" t="s">
        <v>124</v>
      </c>
      <c r="D64" s="178" t="s">
        <v>124</v>
      </c>
      <c r="E64" s="175">
        <v>3831</v>
      </c>
      <c r="F64" s="175">
        <v>3725.4</v>
      </c>
      <c r="G64" s="178">
        <f t="shared" si="361"/>
        <v>105.59999999999991</v>
      </c>
      <c r="H64" s="91">
        <f>H59</f>
        <v>1</v>
      </c>
      <c r="I64" s="178">
        <f t="shared" si="362"/>
        <v>105.59999999999991</v>
      </c>
      <c r="J64" s="175">
        <v>12899.2</v>
      </c>
      <c r="K64" s="175">
        <v>12643.9</v>
      </c>
      <c r="L64" s="178">
        <f t="shared" si="363"/>
        <v>255.30000000000109</v>
      </c>
      <c r="M64" s="176">
        <f>M59</f>
        <v>1</v>
      </c>
      <c r="N64" s="178">
        <f t="shared" si="364"/>
        <v>255.30000000000109</v>
      </c>
      <c r="O64" s="176">
        <f t="shared" si="365"/>
        <v>149.70000000000118</v>
      </c>
      <c r="P64" s="175">
        <v>17266.099999999999</v>
      </c>
      <c r="Q64" s="175">
        <v>16946</v>
      </c>
      <c r="R64" s="178">
        <f t="shared" si="366"/>
        <v>320.09999999999854</v>
      </c>
      <c r="S64" s="176">
        <f>S59</f>
        <v>1</v>
      </c>
      <c r="T64" s="178">
        <f t="shared" si="367"/>
        <v>320.09999999999854</v>
      </c>
      <c r="U64" s="178">
        <v>0.67</v>
      </c>
      <c r="V64" s="178">
        <v>0.98</v>
      </c>
      <c r="W64" s="25"/>
    </row>
    <row r="65" spans="1:23" ht="15.75" x14ac:dyDescent="0.25">
      <c r="A65" s="155">
        <v>55</v>
      </c>
      <c r="B65" s="116" t="s">
        <v>330</v>
      </c>
      <c r="C65" s="158" t="s">
        <v>124</v>
      </c>
      <c r="D65" s="158" t="s">
        <v>124</v>
      </c>
      <c r="E65" s="155">
        <v>3923.6</v>
      </c>
      <c r="F65" s="175">
        <v>3831</v>
      </c>
      <c r="G65" s="158">
        <f t="shared" ref="G65:G66" si="368">E65-F65</f>
        <v>92.599999999999909</v>
      </c>
      <c r="H65" s="91">
        <f>H60</f>
        <v>1</v>
      </c>
      <c r="I65" s="158">
        <f t="shared" ref="I65:I66" si="369">G65*H65</f>
        <v>92.599999999999909</v>
      </c>
      <c r="J65" s="155">
        <v>13135.1</v>
      </c>
      <c r="K65" s="175">
        <v>12899.2</v>
      </c>
      <c r="L65" s="158">
        <f t="shared" ref="L65:L66" si="370">J65-K65</f>
        <v>235.89999999999964</v>
      </c>
      <c r="M65" s="156">
        <f>M60</f>
        <v>1</v>
      </c>
      <c r="N65" s="158">
        <f t="shared" ref="N65:N66" si="371">L65*M65</f>
        <v>235.89999999999964</v>
      </c>
      <c r="O65" s="156">
        <f t="shared" ref="O65:O66" si="372">N65-I65</f>
        <v>143.29999999999973</v>
      </c>
      <c r="P65" s="155">
        <v>17577</v>
      </c>
      <c r="Q65" s="175">
        <v>17266.099999999999</v>
      </c>
      <c r="R65" s="158">
        <f t="shared" ref="R65:R66" si="373">P65-Q65</f>
        <v>310.90000000000146</v>
      </c>
      <c r="S65" s="156">
        <f>S60</f>
        <v>1</v>
      </c>
      <c r="T65" s="158">
        <f t="shared" ref="T65:T66" si="374">R65*S65</f>
        <v>310.90000000000146</v>
      </c>
      <c r="U65" s="158">
        <v>0.53</v>
      </c>
      <c r="V65" s="158">
        <v>0.99</v>
      </c>
      <c r="W65" s="25"/>
    </row>
    <row r="66" spans="1:23" ht="15.75" x14ac:dyDescent="0.25">
      <c r="A66" s="183">
        <v>56</v>
      </c>
      <c r="B66" s="116" t="s">
        <v>331</v>
      </c>
      <c r="C66" s="186" t="s">
        <v>124</v>
      </c>
      <c r="D66" s="186" t="s">
        <v>124</v>
      </c>
      <c r="E66" s="183">
        <v>4010.3</v>
      </c>
      <c r="F66" s="183">
        <v>3923.6</v>
      </c>
      <c r="G66" s="186">
        <f t="shared" si="368"/>
        <v>86.700000000000273</v>
      </c>
      <c r="H66" s="91">
        <f>H60</f>
        <v>1</v>
      </c>
      <c r="I66" s="186">
        <f t="shared" si="369"/>
        <v>86.700000000000273</v>
      </c>
      <c r="J66" s="183">
        <v>13398.5</v>
      </c>
      <c r="K66" s="183">
        <v>13135.1</v>
      </c>
      <c r="L66" s="186">
        <f t="shared" si="370"/>
        <v>263.39999999999964</v>
      </c>
      <c r="M66" s="184">
        <f>M60</f>
        <v>1</v>
      </c>
      <c r="N66" s="186">
        <f t="shared" si="371"/>
        <v>263.39999999999964</v>
      </c>
      <c r="O66" s="184">
        <f t="shared" si="372"/>
        <v>176.69999999999936</v>
      </c>
      <c r="P66" s="183">
        <v>17908.599999999999</v>
      </c>
      <c r="Q66" s="183">
        <v>17577</v>
      </c>
      <c r="R66" s="186">
        <f t="shared" si="373"/>
        <v>331.59999999999854</v>
      </c>
      <c r="S66" s="184">
        <f>S60</f>
        <v>1</v>
      </c>
      <c r="T66" s="186">
        <f t="shared" si="374"/>
        <v>331.59999999999854</v>
      </c>
      <c r="U66" s="186">
        <v>1.49</v>
      </c>
      <c r="V66" s="186">
        <v>0.98</v>
      </c>
      <c r="W66" s="25"/>
    </row>
    <row r="67" spans="1:23" ht="15.75" x14ac:dyDescent="0.25">
      <c r="A67" s="182">
        <v>57</v>
      </c>
      <c r="B67" s="116" t="s">
        <v>332</v>
      </c>
      <c r="C67" s="180" t="s">
        <v>124</v>
      </c>
      <c r="D67" s="180" t="s">
        <v>124</v>
      </c>
      <c r="E67" s="182">
        <v>4116.8999999999996</v>
      </c>
      <c r="F67" s="182">
        <v>4010.3</v>
      </c>
      <c r="G67" s="180">
        <f t="shared" ref="G67" si="375">E67-F67</f>
        <v>106.59999999999945</v>
      </c>
      <c r="H67" s="91">
        <f>H61</f>
        <v>1</v>
      </c>
      <c r="I67" s="180">
        <f t="shared" ref="I67" si="376">G67*H67</f>
        <v>106.59999999999945</v>
      </c>
      <c r="J67" s="182">
        <v>13662.9</v>
      </c>
      <c r="K67" s="182">
        <v>13398.5</v>
      </c>
      <c r="L67" s="180">
        <f t="shared" ref="L67" si="377">J67-K67</f>
        <v>264.39999999999964</v>
      </c>
      <c r="M67" s="181">
        <f>M61</f>
        <v>1</v>
      </c>
      <c r="N67" s="180">
        <f t="shared" ref="N67" si="378">L67*M67</f>
        <v>264.39999999999964</v>
      </c>
      <c r="O67" s="181">
        <f t="shared" ref="O67" si="379">N67-I67</f>
        <v>157.80000000000018</v>
      </c>
      <c r="P67" s="182">
        <v>18255.8</v>
      </c>
      <c r="Q67" s="182">
        <v>17909</v>
      </c>
      <c r="R67" s="180">
        <f t="shared" ref="R67" si="380">P67-Q67</f>
        <v>346.79999999999927</v>
      </c>
      <c r="S67" s="181">
        <f>S61</f>
        <v>1</v>
      </c>
      <c r="T67" s="180">
        <f t="shared" ref="T67" si="381">R67*S67</f>
        <v>346.79999999999927</v>
      </c>
      <c r="U67" s="180">
        <v>0.81</v>
      </c>
      <c r="V67" s="180">
        <v>0.97</v>
      </c>
      <c r="W67" s="25"/>
    </row>
    <row r="68" spans="1:23" ht="15.75" x14ac:dyDescent="0.25">
      <c r="A68" s="130"/>
      <c r="B68" s="131"/>
      <c r="C68" s="132"/>
      <c r="D68" s="132"/>
      <c r="E68" s="130"/>
      <c r="F68" s="133"/>
      <c r="G68" s="132"/>
      <c r="H68" s="134"/>
      <c r="I68" s="132"/>
      <c r="J68" s="130"/>
      <c r="K68" s="133"/>
      <c r="L68" s="132"/>
      <c r="M68" s="133"/>
      <c r="N68" s="132"/>
      <c r="O68" s="133"/>
      <c r="P68" s="130"/>
      <c r="Q68" s="133"/>
      <c r="R68" s="132"/>
      <c r="S68" s="133"/>
      <c r="T68" s="132"/>
      <c r="U68" s="132"/>
      <c r="V68" s="132"/>
      <c r="W68" s="25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38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1">
        <v>1</v>
      </c>
      <c r="B70" s="31" t="s">
        <v>23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37"/>
      <c r="Q70" s="38"/>
      <c r="R70" s="24"/>
      <c r="S70" s="38"/>
      <c r="T70" s="24"/>
      <c r="U70" s="25"/>
      <c r="V70" s="25"/>
      <c r="W70" s="25"/>
    </row>
    <row r="71" spans="1:23" ht="15.75" x14ac:dyDescent="0.25">
      <c r="A71" s="31">
        <v>2</v>
      </c>
      <c r="B71" s="31" t="s">
        <v>24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37"/>
      <c r="Q71" s="38"/>
      <c r="R71" s="24"/>
      <c r="S71" s="38"/>
      <c r="T71" s="24"/>
      <c r="U71" s="25"/>
      <c r="V71" s="25"/>
      <c r="W71" s="25"/>
    </row>
    <row r="72" spans="1:23" ht="15.75" x14ac:dyDescent="0.25">
      <c r="A72" s="31">
        <v>3</v>
      </c>
      <c r="B72" s="31" t="s">
        <v>25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37"/>
      <c r="Q72" s="38"/>
      <c r="R72" s="24"/>
      <c r="S72" s="38"/>
      <c r="T72" s="24"/>
      <c r="U72" s="25"/>
      <c r="V72" s="25"/>
      <c r="W72" s="25"/>
    </row>
    <row r="73" spans="1:23" x14ac:dyDescent="0.25">
      <c r="M73">
        <v>3577</v>
      </c>
    </row>
    <row r="74" spans="1:23" x14ac:dyDescent="0.25">
      <c r="M74">
        <v>3578</v>
      </c>
    </row>
    <row r="75" spans="1:23" x14ac:dyDescent="0.25">
      <c r="R75" t="s">
        <v>65</v>
      </c>
    </row>
  </sheetData>
  <mergeCells count="20">
    <mergeCell ref="J5:N5"/>
    <mergeCell ref="O5:O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95"/>
  <sheetViews>
    <sheetView view="pageBreakPreview" topLeftCell="A43" zoomScale="85" zoomScaleNormal="85" zoomScaleSheetLayoutView="85" workbookViewId="0">
      <selection activeCell="Q75" sqref="Q75"/>
    </sheetView>
  </sheetViews>
  <sheetFormatPr defaultRowHeight="15" x14ac:dyDescent="0.25"/>
  <cols>
    <col min="1" max="1" width="7.5703125" customWidth="1"/>
    <col min="2" max="2" width="13" customWidth="1"/>
    <col min="3" max="3" width="14.8554687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136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135</v>
      </c>
      <c r="C3" s="207"/>
      <c r="D3" s="12" t="s">
        <v>6</v>
      </c>
      <c r="E3" s="201" t="s">
        <v>137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143</v>
      </c>
      <c r="W3" s="25"/>
    </row>
    <row r="4" spans="1:23" ht="30.75" customHeight="1" x14ac:dyDescent="0.25">
      <c r="A4" s="12" t="s">
        <v>0</v>
      </c>
      <c r="B4" s="216" t="s">
        <v>137</v>
      </c>
      <c r="C4" s="216"/>
      <c r="D4" s="12" t="s">
        <v>9</v>
      </c>
      <c r="E4" s="201" t="s">
        <v>147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 t="s">
        <v>144</v>
      </c>
      <c r="W4" s="25"/>
    </row>
    <row r="5" spans="1:23" ht="15.75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201" t="s">
        <v>17</v>
      </c>
      <c r="V5" s="201" t="s">
        <v>17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201"/>
      <c r="V6" s="201"/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138</v>
      </c>
      <c r="D7" s="19" t="s">
        <v>124</v>
      </c>
      <c r="E7" s="17">
        <v>653.6</v>
      </c>
      <c r="F7" s="17">
        <v>0.6</v>
      </c>
      <c r="G7" s="19">
        <f t="shared" ref="G7" si="0">E7-F7</f>
        <v>653</v>
      </c>
      <c r="H7" s="17">
        <v>1</v>
      </c>
      <c r="I7" s="19">
        <f t="shared" ref="I7" si="1">G7*H7</f>
        <v>653</v>
      </c>
      <c r="J7" s="17">
        <v>7.1</v>
      </c>
      <c r="K7" s="17">
        <v>0.1</v>
      </c>
      <c r="L7" s="19">
        <f t="shared" ref="L7" si="2">J7-K7</f>
        <v>7</v>
      </c>
      <c r="M7" s="17">
        <v>1</v>
      </c>
      <c r="N7" s="19">
        <f t="shared" ref="N7" si="3">L7*M7</f>
        <v>7</v>
      </c>
      <c r="O7" s="17">
        <f>N7-I7</f>
        <v>-646</v>
      </c>
      <c r="P7" s="17">
        <v>6120</v>
      </c>
      <c r="Q7" s="17">
        <v>5929</v>
      </c>
      <c r="R7" s="19">
        <f t="shared" ref="R7" si="4">P7-Q7</f>
        <v>191</v>
      </c>
      <c r="S7" s="17">
        <v>1</v>
      </c>
      <c r="T7" s="19">
        <f t="shared" ref="T7" si="5">R7*S7</f>
        <v>191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138</v>
      </c>
      <c r="D8" s="19" t="s">
        <v>124</v>
      </c>
      <c r="E8" s="17">
        <v>1362.7</v>
      </c>
      <c r="F8" s="17">
        <f t="shared" ref="F8:F13" si="6">E7</f>
        <v>653.6</v>
      </c>
      <c r="G8" s="19">
        <f t="shared" ref="G8" si="7">E8-F8</f>
        <v>709.1</v>
      </c>
      <c r="H8" s="17">
        <f t="shared" ref="H8:H16" si="8">H7</f>
        <v>1</v>
      </c>
      <c r="I8" s="19">
        <f t="shared" ref="I8" si="9">G8*H8</f>
        <v>709.1</v>
      </c>
      <c r="J8" s="17">
        <v>15.8</v>
      </c>
      <c r="K8" s="17">
        <f t="shared" ref="K8:K13" si="10">J7</f>
        <v>7.1</v>
      </c>
      <c r="L8" s="19">
        <f t="shared" ref="L8" si="11">J8-K8</f>
        <v>8.7000000000000011</v>
      </c>
      <c r="M8" s="17">
        <f t="shared" ref="M8:M16" si="12">M7</f>
        <v>1</v>
      </c>
      <c r="N8" s="19">
        <f t="shared" ref="N8" si="13">L8*M8</f>
        <v>8.7000000000000011</v>
      </c>
      <c r="O8" s="17">
        <f>N8-I8</f>
        <v>-700.4</v>
      </c>
      <c r="P8" s="17">
        <v>6298</v>
      </c>
      <c r="Q8" s="17">
        <f t="shared" ref="Q8:Q13" si="14">P7</f>
        <v>6120</v>
      </c>
      <c r="R8" s="19">
        <f t="shared" ref="R8" si="15">P8-Q8</f>
        <v>178</v>
      </c>
      <c r="S8" s="17">
        <f t="shared" ref="S8:S16" si="16">S7</f>
        <v>1</v>
      </c>
      <c r="T8" s="19">
        <f t="shared" ref="T8" si="17">R8*S8</f>
        <v>178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138</v>
      </c>
      <c r="D9" s="19" t="s">
        <v>124</v>
      </c>
      <c r="E9" s="17">
        <v>1842</v>
      </c>
      <c r="F9" s="17">
        <f t="shared" si="6"/>
        <v>1362.7</v>
      </c>
      <c r="G9" s="19">
        <f t="shared" ref="G9" si="18">E9-F9</f>
        <v>479.29999999999995</v>
      </c>
      <c r="H9" s="17">
        <f t="shared" si="8"/>
        <v>1</v>
      </c>
      <c r="I9" s="19">
        <f t="shared" ref="I9" si="19">G9*H9</f>
        <v>479.29999999999995</v>
      </c>
      <c r="J9" s="17">
        <v>31.6</v>
      </c>
      <c r="K9" s="17">
        <f t="shared" si="10"/>
        <v>15.8</v>
      </c>
      <c r="L9" s="19">
        <f t="shared" ref="L9" si="20">J9-K9</f>
        <v>15.8</v>
      </c>
      <c r="M9" s="17">
        <f t="shared" si="12"/>
        <v>1</v>
      </c>
      <c r="N9" s="19">
        <f t="shared" ref="N9" si="21">L9*M9</f>
        <v>15.8</v>
      </c>
      <c r="O9" s="12">
        <f t="shared" ref="O9:O16" si="22">SUM(O7)</f>
        <v>-646</v>
      </c>
      <c r="P9" s="17">
        <v>6453</v>
      </c>
      <c r="Q9" s="17">
        <f t="shared" si="14"/>
        <v>6298</v>
      </c>
      <c r="R9" s="19">
        <f t="shared" ref="R9" si="23">P9-Q9</f>
        <v>155</v>
      </c>
      <c r="S9" s="17">
        <f t="shared" si="16"/>
        <v>1</v>
      </c>
      <c r="T9" s="19">
        <f t="shared" ref="T9" si="24">R9*S9</f>
        <v>155</v>
      </c>
      <c r="U9" s="17">
        <v>2</v>
      </c>
      <c r="V9" s="17">
        <v>0.94</v>
      </c>
      <c r="W9" s="25"/>
    </row>
    <row r="10" spans="1:23" ht="15.75" x14ac:dyDescent="0.25">
      <c r="A10" s="12">
        <v>4</v>
      </c>
      <c r="B10" s="22" t="s">
        <v>244</v>
      </c>
      <c r="C10" s="19" t="s">
        <v>138</v>
      </c>
      <c r="D10" s="19" t="s">
        <v>124</v>
      </c>
      <c r="E10" s="17">
        <v>2427.4</v>
      </c>
      <c r="F10" s="17">
        <f t="shared" si="6"/>
        <v>1842</v>
      </c>
      <c r="G10" s="19">
        <f t="shared" ref="G10" si="25">E10-F10</f>
        <v>585.40000000000009</v>
      </c>
      <c r="H10" s="17">
        <f t="shared" si="8"/>
        <v>1</v>
      </c>
      <c r="I10" s="19">
        <f t="shared" ref="I10" si="26">G10*H10</f>
        <v>585.40000000000009</v>
      </c>
      <c r="J10" s="17">
        <v>33</v>
      </c>
      <c r="K10" s="17">
        <f t="shared" si="10"/>
        <v>31.6</v>
      </c>
      <c r="L10" s="19">
        <f t="shared" ref="L10" si="27">J10-K10</f>
        <v>1.3999999999999986</v>
      </c>
      <c r="M10" s="17">
        <f t="shared" si="12"/>
        <v>1</v>
      </c>
      <c r="N10" s="19">
        <f t="shared" ref="N10" si="28">L10*M10</f>
        <v>1.3999999999999986</v>
      </c>
      <c r="O10" s="12">
        <f t="shared" si="22"/>
        <v>-700.4</v>
      </c>
      <c r="P10" s="17">
        <v>6469.9</v>
      </c>
      <c r="Q10" s="17">
        <f t="shared" si="14"/>
        <v>6453</v>
      </c>
      <c r="R10" s="19">
        <f t="shared" ref="R10" si="29">P10-Q10</f>
        <v>16.899999999999636</v>
      </c>
      <c r="S10" s="17">
        <f t="shared" si="16"/>
        <v>1</v>
      </c>
      <c r="T10" s="19">
        <f t="shared" ref="T10" si="30">R10*S10</f>
        <v>16.899999999999636</v>
      </c>
      <c r="U10" s="17">
        <v>2.14</v>
      </c>
      <c r="V10" s="17">
        <v>0.96</v>
      </c>
      <c r="W10" s="25"/>
    </row>
    <row r="11" spans="1:23" ht="15.75" x14ac:dyDescent="0.25">
      <c r="A11" s="12">
        <v>5</v>
      </c>
      <c r="B11" s="22" t="s">
        <v>245</v>
      </c>
      <c r="C11" s="19" t="s">
        <v>138</v>
      </c>
      <c r="D11" s="19" t="s">
        <v>124</v>
      </c>
      <c r="E11" s="17">
        <v>3023.5</v>
      </c>
      <c r="F11" s="17">
        <f t="shared" si="6"/>
        <v>2427.4</v>
      </c>
      <c r="G11" s="19">
        <f t="shared" ref="G11" si="31">E11-F11</f>
        <v>596.09999999999991</v>
      </c>
      <c r="H11" s="17">
        <f t="shared" si="8"/>
        <v>1</v>
      </c>
      <c r="I11" s="19">
        <f t="shared" ref="I11" si="32">G11*H11</f>
        <v>596.09999999999991</v>
      </c>
      <c r="J11" s="17">
        <v>33.700000000000003</v>
      </c>
      <c r="K11" s="17">
        <f t="shared" si="10"/>
        <v>33</v>
      </c>
      <c r="L11" s="19">
        <f t="shared" ref="L11" si="33">J11-K11</f>
        <v>0.70000000000000284</v>
      </c>
      <c r="M11" s="17">
        <f t="shared" si="12"/>
        <v>1</v>
      </c>
      <c r="N11" s="19">
        <f t="shared" ref="N11" si="34">L11*M11</f>
        <v>0.70000000000000284</v>
      </c>
      <c r="O11" s="12">
        <f t="shared" si="22"/>
        <v>-646</v>
      </c>
      <c r="P11" s="17">
        <v>6526.6</v>
      </c>
      <c r="Q11" s="17">
        <f t="shared" si="14"/>
        <v>6469.9</v>
      </c>
      <c r="R11" s="19">
        <f t="shared" ref="R11" si="35">P11-Q11</f>
        <v>56.700000000000728</v>
      </c>
      <c r="S11" s="17">
        <f t="shared" si="16"/>
        <v>1</v>
      </c>
      <c r="T11" s="19">
        <f t="shared" ref="T11" si="36">R11*S11</f>
        <v>56.700000000000728</v>
      </c>
      <c r="U11" s="17">
        <v>2.11</v>
      </c>
      <c r="V11" s="17"/>
      <c r="W11" s="25"/>
    </row>
    <row r="12" spans="1:23" ht="15.75" x14ac:dyDescent="0.25">
      <c r="A12" s="12">
        <v>6</v>
      </c>
      <c r="B12" s="22" t="s">
        <v>247</v>
      </c>
      <c r="C12" s="19" t="s">
        <v>138</v>
      </c>
      <c r="D12" s="19" t="s">
        <v>124</v>
      </c>
      <c r="E12" s="12">
        <v>3499.6</v>
      </c>
      <c r="F12" s="17">
        <f t="shared" si="6"/>
        <v>3023.5</v>
      </c>
      <c r="G12" s="19">
        <f t="shared" ref="G12" si="37">E12-F12</f>
        <v>476.09999999999991</v>
      </c>
      <c r="H12" s="17">
        <f t="shared" si="8"/>
        <v>1</v>
      </c>
      <c r="I12" s="19">
        <f t="shared" ref="I12" si="38">G12*H12</f>
        <v>476.09999999999991</v>
      </c>
      <c r="J12" s="12">
        <v>68.599999999999994</v>
      </c>
      <c r="K12" s="17">
        <f t="shared" si="10"/>
        <v>33.700000000000003</v>
      </c>
      <c r="L12" s="19">
        <f t="shared" ref="L12" si="39">J12-K12</f>
        <v>34.899999999999991</v>
      </c>
      <c r="M12" s="17">
        <f t="shared" si="12"/>
        <v>1</v>
      </c>
      <c r="N12" s="19">
        <f t="shared" ref="N12" si="40">L12*M12</f>
        <v>34.899999999999991</v>
      </c>
      <c r="O12" s="12">
        <f t="shared" si="22"/>
        <v>-700.4</v>
      </c>
      <c r="P12" s="17">
        <v>6700.8</v>
      </c>
      <c r="Q12" s="17">
        <f t="shared" si="14"/>
        <v>6526.6</v>
      </c>
      <c r="R12" s="19">
        <f t="shared" ref="R12" si="41">P12-Q12</f>
        <v>174.19999999999982</v>
      </c>
      <c r="S12" s="17">
        <f t="shared" si="16"/>
        <v>1</v>
      </c>
      <c r="T12" s="19">
        <f t="shared" ref="T12" si="42">R12*S12</f>
        <v>174.19999999999982</v>
      </c>
      <c r="U12" s="19">
        <v>2.0699999999999998</v>
      </c>
      <c r="V12" s="19">
        <v>0.81</v>
      </c>
      <c r="W12" s="25"/>
    </row>
    <row r="13" spans="1:23" ht="15.75" x14ac:dyDescent="0.25">
      <c r="A13" s="12">
        <v>7</v>
      </c>
      <c r="B13" s="22" t="s">
        <v>252</v>
      </c>
      <c r="C13" s="19" t="s">
        <v>138</v>
      </c>
      <c r="D13" s="19" t="s">
        <v>124</v>
      </c>
      <c r="E13" s="12">
        <v>3920.8</v>
      </c>
      <c r="F13" s="17">
        <f t="shared" si="6"/>
        <v>3499.6</v>
      </c>
      <c r="G13" s="19">
        <f t="shared" ref="G13" si="43">E13-F13</f>
        <v>421.20000000000027</v>
      </c>
      <c r="H13" s="17">
        <f t="shared" si="8"/>
        <v>1</v>
      </c>
      <c r="I13" s="19">
        <f t="shared" ref="I13" si="44">G13*H13</f>
        <v>421.20000000000027</v>
      </c>
      <c r="J13" s="12">
        <v>80.900000000000006</v>
      </c>
      <c r="K13" s="17">
        <f t="shared" si="10"/>
        <v>68.599999999999994</v>
      </c>
      <c r="L13" s="19">
        <f t="shared" ref="L13" si="45">J13-K13</f>
        <v>12.300000000000011</v>
      </c>
      <c r="M13" s="17">
        <f t="shared" si="12"/>
        <v>1</v>
      </c>
      <c r="N13" s="19">
        <f t="shared" ref="N13" si="46">L13*M13</f>
        <v>12.300000000000011</v>
      </c>
      <c r="O13" s="12">
        <f t="shared" si="22"/>
        <v>-646</v>
      </c>
      <c r="P13" s="12">
        <v>6823.9</v>
      </c>
      <c r="Q13" s="17">
        <f t="shared" si="14"/>
        <v>6700.8</v>
      </c>
      <c r="R13" s="19">
        <f t="shared" ref="R13" si="47">P13-Q13</f>
        <v>123.09999999999945</v>
      </c>
      <c r="S13" s="17">
        <f t="shared" si="16"/>
        <v>1</v>
      </c>
      <c r="T13" s="19">
        <f t="shared" ref="T13" si="48">R13*S13</f>
        <v>123.09999999999945</v>
      </c>
      <c r="U13" s="19">
        <v>1.68</v>
      </c>
      <c r="V13" s="19">
        <v>0.72</v>
      </c>
      <c r="W13" s="25"/>
    </row>
    <row r="14" spans="1:23" ht="15.75" x14ac:dyDescent="0.25">
      <c r="A14" s="12">
        <v>8</v>
      </c>
      <c r="B14" s="22" t="s">
        <v>253</v>
      </c>
      <c r="C14" s="19" t="s">
        <v>138</v>
      </c>
      <c r="D14" s="19" t="s">
        <v>124</v>
      </c>
      <c r="E14" s="12">
        <v>4406.8</v>
      </c>
      <c r="F14" s="17">
        <f t="shared" ref="F14" si="49">E13</f>
        <v>3920.8</v>
      </c>
      <c r="G14" s="19">
        <f t="shared" ref="G14" si="50">E14-F14</f>
        <v>486</v>
      </c>
      <c r="H14" s="17">
        <f t="shared" si="8"/>
        <v>1</v>
      </c>
      <c r="I14" s="19">
        <f t="shared" ref="I14" si="51">G14*H14</f>
        <v>486</v>
      </c>
      <c r="J14" s="12">
        <v>103.2</v>
      </c>
      <c r="K14" s="17">
        <f t="shared" ref="K14" si="52">J13</f>
        <v>80.900000000000006</v>
      </c>
      <c r="L14" s="19">
        <f t="shared" ref="L14" si="53">J14-K14</f>
        <v>22.299999999999997</v>
      </c>
      <c r="M14" s="17">
        <f t="shared" si="12"/>
        <v>1</v>
      </c>
      <c r="N14" s="19">
        <f t="shared" ref="N14" si="54">L14*M14</f>
        <v>22.299999999999997</v>
      </c>
      <c r="O14" s="12">
        <f t="shared" si="22"/>
        <v>-700.4</v>
      </c>
      <c r="P14" s="12">
        <v>6949.8</v>
      </c>
      <c r="Q14" s="17">
        <f t="shared" ref="Q14" si="55">P13</f>
        <v>6823.9</v>
      </c>
      <c r="R14" s="19">
        <f t="shared" ref="R14" si="56">P14-Q14</f>
        <v>125.90000000000055</v>
      </c>
      <c r="S14" s="17">
        <f t="shared" si="16"/>
        <v>1</v>
      </c>
      <c r="T14" s="19">
        <f t="shared" ref="T14" si="57">R14*S14</f>
        <v>125.90000000000055</v>
      </c>
      <c r="U14" s="19">
        <v>1.1399999999999999</v>
      </c>
      <c r="V14" s="19">
        <v>0.88</v>
      </c>
      <c r="W14" s="25"/>
    </row>
    <row r="15" spans="1:23" ht="15.75" x14ac:dyDescent="0.25">
      <c r="A15" s="12">
        <v>9</v>
      </c>
      <c r="B15" s="22" t="s">
        <v>254</v>
      </c>
      <c r="C15" s="19" t="s">
        <v>138</v>
      </c>
      <c r="D15" s="19" t="s">
        <v>124</v>
      </c>
      <c r="E15" s="12">
        <v>4874.3999999999996</v>
      </c>
      <c r="F15" s="17">
        <f t="shared" ref="F15" si="58">E14</f>
        <v>4406.8</v>
      </c>
      <c r="G15" s="19">
        <f t="shared" ref="G15" si="59">E15-F15</f>
        <v>467.59999999999945</v>
      </c>
      <c r="H15" s="17">
        <f t="shared" si="8"/>
        <v>1</v>
      </c>
      <c r="I15" s="19">
        <f t="shared" ref="I15" si="60">G15*H15</f>
        <v>467.59999999999945</v>
      </c>
      <c r="J15" s="12">
        <v>142.30000000000001</v>
      </c>
      <c r="K15" s="17">
        <f t="shared" ref="K15" si="61">J14</f>
        <v>103.2</v>
      </c>
      <c r="L15" s="19">
        <f t="shared" ref="L15" si="62">J15-K15</f>
        <v>39.100000000000009</v>
      </c>
      <c r="M15" s="17">
        <f t="shared" si="12"/>
        <v>1</v>
      </c>
      <c r="N15" s="19">
        <f t="shared" ref="N15" si="63">L15*M15</f>
        <v>39.100000000000009</v>
      </c>
      <c r="O15" s="12">
        <f t="shared" si="22"/>
        <v>-646</v>
      </c>
      <c r="P15" s="12">
        <v>7116</v>
      </c>
      <c r="Q15" s="17">
        <f t="shared" ref="Q15" si="64">P14</f>
        <v>6949.8</v>
      </c>
      <c r="R15" s="19">
        <f t="shared" ref="R15" si="65">P15-Q15</f>
        <v>166.19999999999982</v>
      </c>
      <c r="S15" s="17">
        <f t="shared" si="16"/>
        <v>1</v>
      </c>
      <c r="T15" s="19">
        <f t="shared" ref="T15" si="66">R15*S15</f>
        <v>166.19999999999982</v>
      </c>
      <c r="U15" s="19">
        <v>2.0299999999999998</v>
      </c>
      <c r="V15" s="19">
        <v>0.98</v>
      </c>
      <c r="W15" s="25"/>
    </row>
    <row r="16" spans="1:23" ht="15.75" x14ac:dyDescent="0.25">
      <c r="A16" s="12">
        <v>10</v>
      </c>
      <c r="B16" s="22" t="s">
        <v>258</v>
      </c>
      <c r="C16" s="19" t="s">
        <v>138</v>
      </c>
      <c r="D16" s="19" t="s">
        <v>124</v>
      </c>
      <c r="E16" s="12">
        <v>5346.4</v>
      </c>
      <c r="F16" s="17">
        <f t="shared" ref="F16" si="67">E15</f>
        <v>4874.3999999999996</v>
      </c>
      <c r="G16" s="19">
        <f t="shared" ref="G16" si="68">E16-F16</f>
        <v>472</v>
      </c>
      <c r="H16" s="17">
        <f t="shared" si="8"/>
        <v>1</v>
      </c>
      <c r="I16" s="19">
        <f t="shared" ref="I16" si="69">G16*H16</f>
        <v>472</v>
      </c>
      <c r="J16" s="12">
        <f>J15+135</f>
        <v>277.3</v>
      </c>
      <c r="K16" s="17">
        <f t="shared" ref="K16" si="70">J15</f>
        <v>142.30000000000001</v>
      </c>
      <c r="L16" s="19">
        <f t="shared" ref="L16" si="71">J16-K16</f>
        <v>135</v>
      </c>
      <c r="M16" s="17">
        <f t="shared" si="12"/>
        <v>1</v>
      </c>
      <c r="N16" s="19">
        <f t="shared" ref="N16" si="72">L16*M16</f>
        <v>135</v>
      </c>
      <c r="O16" s="12">
        <f t="shared" si="22"/>
        <v>-700.4</v>
      </c>
      <c r="P16" s="12">
        <f>P15+235</f>
        <v>7351</v>
      </c>
      <c r="Q16" s="17">
        <f t="shared" ref="Q16" si="73">P15</f>
        <v>7116</v>
      </c>
      <c r="R16" s="19">
        <f t="shared" ref="R16" si="74">P16-Q16</f>
        <v>235</v>
      </c>
      <c r="S16" s="17">
        <f t="shared" si="16"/>
        <v>1</v>
      </c>
      <c r="T16" s="19">
        <f t="shared" ref="T16" si="75">R16*S16</f>
        <v>235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22" t="s">
        <v>121</v>
      </c>
      <c r="I17" s="12">
        <f>SUM(I7:I16)</f>
        <v>5345.8</v>
      </c>
      <c r="J17" s="12"/>
      <c r="K17" s="17"/>
      <c r="L17" s="12"/>
      <c r="M17" s="17"/>
      <c r="N17" s="12">
        <f t="shared" ref="N17:O17" si="76">SUM(N7:N16)</f>
        <v>277.20000000000005</v>
      </c>
      <c r="O17" s="12">
        <f t="shared" si="76"/>
        <v>-6732</v>
      </c>
      <c r="P17" s="12"/>
      <c r="Q17" s="17"/>
      <c r="R17" s="12"/>
      <c r="S17" s="17"/>
      <c r="T17" s="12">
        <f>SUM(T7:T16)</f>
        <v>1422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138</v>
      </c>
      <c r="D18" s="19" t="s">
        <v>124</v>
      </c>
      <c r="E18" s="12">
        <v>5743.3</v>
      </c>
      <c r="F18" s="17">
        <f>E16</f>
        <v>5346.4</v>
      </c>
      <c r="G18" s="19">
        <f t="shared" ref="G18" si="77">E18-F18</f>
        <v>396.90000000000055</v>
      </c>
      <c r="H18" s="91">
        <v>1</v>
      </c>
      <c r="I18" s="19">
        <f t="shared" ref="I18" si="78">G18*H18</f>
        <v>396.90000000000055</v>
      </c>
      <c r="J18" s="12">
        <v>465.8</v>
      </c>
      <c r="K18" s="17">
        <f>J16</f>
        <v>277.3</v>
      </c>
      <c r="L18" s="19">
        <f t="shared" ref="L18" si="79">J18-K18</f>
        <v>188.5</v>
      </c>
      <c r="M18" s="17">
        <f>M16</f>
        <v>1</v>
      </c>
      <c r="N18" s="19">
        <f t="shared" ref="N18" si="80">L18*M18</f>
        <v>188.5</v>
      </c>
      <c r="O18" s="17">
        <f t="shared" ref="O18" si="81">N18-I18</f>
        <v>-208.40000000000055</v>
      </c>
      <c r="P18" s="12">
        <v>7688.3</v>
      </c>
      <c r="Q18" s="17">
        <f>P16</f>
        <v>7351</v>
      </c>
      <c r="R18" s="19">
        <f t="shared" ref="R18" si="82">P18-Q18</f>
        <v>337.30000000000018</v>
      </c>
      <c r="S18" s="17">
        <f>S16</f>
        <v>1</v>
      </c>
      <c r="T18" s="19">
        <f t="shared" ref="T18" si="83">R18*S18</f>
        <v>337.30000000000018</v>
      </c>
      <c r="U18" s="12">
        <v>2</v>
      </c>
      <c r="V18" s="12">
        <v>0.93</v>
      </c>
      <c r="W18" s="25"/>
    </row>
    <row r="19" spans="1:23" ht="15.75" x14ac:dyDescent="0.25">
      <c r="A19" s="12">
        <v>12</v>
      </c>
      <c r="B19" s="22" t="s">
        <v>263</v>
      </c>
      <c r="C19" s="19" t="s">
        <v>138</v>
      </c>
      <c r="D19" s="19" t="s">
        <v>124</v>
      </c>
      <c r="E19" s="12">
        <v>6263.1</v>
      </c>
      <c r="F19" s="17">
        <f t="shared" ref="F19:F24" si="84">E18</f>
        <v>5743.3</v>
      </c>
      <c r="G19" s="19">
        <f t="shared" ref="G19" si="85">E19-F19</f>
        <v>519.80000000000018</v>
      </c>
      <c r="H19" s="91">
        <f t="shared" ref="H19:H59" si="86">H18</f>
        <v>1</v>
      </c>
      <c r="I19" s="19">
        <f t="shared" ref="I19" si="87">G19*H19</f>
        <v>519.80000000000018</v>
      </c>
      <c r="J19" s="12">
        <v>515.9</v>
      </c>
      <c r="K19" s="17">
        <f t="shared" ref="K19:K24" si="88">J18</f>
        <v>465.8</v>
      </c>
      <c r="L19" s="19">
        <f t="shared" ref="L19" si="89">J19-K19</f>
        <v>50.099999999999966</v>
      </c>
      <c r="M19" s="17">
        <f t="shared" ref="M19:M59" si="90">M18</f>
        <v>1</v>
      </c>
      <c r="N19" s="19">
        <f t="shared" ref="N19" si="91">L19*M19</f>
        <v>50.099999999999966</v>
      </c>
      <c r="O19" s="17">
        <f t="shared" ref="O19" si="92">N19-I19</f>
        <v>-469.70000000000022</v>
      </c>
      <c r="P19" s="12">
        <v>7761.9</v>
      </c>
      <c r="Q19" s="17">
        <f t="shared" ref="Q19:Q24" si="93">P18</f>
        <v>7688.3</v>
      </c>
      <c r="R19" s="19">
        <f t="shared" ref="R19" si="94">P19-Q19</f>
        <v>73.599999999999454</v>
      </c>
      <c r="S19" s="17">
        <f t="shared" ref="S19:S59" si="95">S18</f>
        <v>1</v>
      </c>
      <c r="T19" s="19">
        <f t="shared" ref="T19" si="96">R19*S19</f>
        <v>73.599999999999454</v>
      </c>
      <c r="U19" s="19">
        <v>2.0699999999999998</v>
      </c>
      <c r="V19" s="19">
        <v>0.95</v>
      </c>
      <c r="W19" s="25"/>
    </row>
    <row r="20" spans="1:23" ht="15.75" x14ac:dyDescent="0.25">
      <c r="A20" s="12">
        <v>13</v>
      </c>
      <c r="B20" s="22" t="s">
        <v>265</v>
      </c>
      <c r="C20" s="19" t="s">
        <v>138</v>
      </c>
      <c r="D20" s="19" t="s">
        <v>124</v>
      </c>
      <c r="E20" s="12">
        <v>6694.1</v>
      </c>
      <c r="F20" s="17">
        <f t="shared" si="84"/>
        <v>6263.1</v>
      </c>
      <c r="G20" s="19">
        <f t="shared" ref="G20" si="97">E20-F20</f>
        <v>431</v>
      </c>
      <c r="H20" s="91">
        <f t="shared" si="86"/>
        <v>1</v>
      </c>
      <c r="I20" s="19">
        <f t="shared" ref="I20" si="98">G20*H20</f>
        <v>431</v>
      </c>
      <c r="J20" s="12">
        <v>515.9</v>
      </c>
      <c r="K20" s="17">
        <f t="shared" si="88"/>
        <v>515.9</v>
      </c>
      <c r="L20" s="19">
        <f t="shared" ref="L20" si="99">J20-K20</f>
        <v>0</v>
      </c>
      <c r="M20" s="17">
        <f t="shared" si="90"/>
        <v>1</v>
      </c>
      <c r="N20" s="19">
        <f t="shared" ref="N20" si="100">L20*M20</f>
        <v>0</v>
      </c>
      <c r="O20" s="17">
        <f t="shared" ref="O20" si="101">N20-I20</f>
        <v>-431</v>
      </c>
      <c r="P20" s="12">
        <v>7761.9</v>
      </c>
      <c r="Q20" s="17">
        <f t="shared" si="93"/>
        <v>7761.9</v>
      </c>
      <c r="R20" s="19">
        <f t="shared" ref="R20" si="102">P20-Q20</f>
        <v>0</v>
      </c>
      <c r="S20" s="17">
        <f t="shared" si="95"/>
        <v>1</v>
      </c>
      <c r="T20" s="19">
        <f t="shared" ref="T20" si="103">R20*S20</f>
        <v>0</v>
      </c>
      <c r="U20" s="19"/>
      <c r="V20" s="19"/>
      <c r="W20" s="25"/>
    </row>
    <row r="21" spans="1:23" ht="15.75" x14ac:dyDescent="0.25">
      <c r="A21" s="12">
        <v>14</v>
      </c>
      <c r="B21" s="22" t="s">
        <v>266</v>
      </c>
      <c r="C21" s="19" t="s">
        <v>138</v>
      </c>
      <c r="D21" s="19" t="s">
        <v>124</v>
      </c>
      <c r="E21" s="12">
        <v>7079.5</v>
      </c>
      <c r="F21" s="17">
        <f t="shared" si="84"/>
        <v>6694.1</v>
      </c>
      <c r="G21" s="19">
        <f t="shared" ref="G21" si="104">E21-F21</f>
        <v>385.39999999999964</v>
      </c>
      <c r="H21" s="91">
        <f t="shared" si="86"/>
        <v>1</v>
      </c>
      <c r="I21" s="19">
        <f t="shared" ref="I21" si="105">G21*H21</f>
        <v>385.39999999999964</v>
      </c>
      <c r="J21" s="12">
        <v>515.9</v>
      </c>
      <c r="K21" s="17">
        <f t="shared" si="88"/>
        <v>515.9</v>
      </c>
      <c r="L21" s="19">
        <f t="shared" ref="L21" si="106">J21-K21</f>
        <v>0</v>
      </c>
      <c r="M21" s="17">
        <f t="shared" si="90"/>
        <v>1</v>
      </c>
      <c r="N21" s="19">
        <f t="shared" ref="N21" si="107">L21*M21</f>
        <v>0</v>
      </c>
      <c r="O21" s="17">
        <f t="shared" ref="O21" si="108">N21-I21</f>
        <v>-385.39999999999964</v>
      </c>
      <c r="P21" s="12">
        <v>7761.9</v>
      </c>
      <c r="Q21" s="17">
        <f t="shared" si="93"/>
        <v>7761.9</v>
      </c>
      <c r="R21" s="19">
        <f t="shared" ref="R21" si="109">P21-Q21</f>
        <v>0</v>
      </c>
      <c r="S21" s="17">
        <f t="shared" si="95"/>
        <v>1</v>
      </c>
      <c r="T21" s="19">
        <f t="shared" ref="T21" si="110">R21*S21</f>
        <v>0</v>
      </c>
      <c r="U21" s="19">
        <v>2.09</v>
      </c>
      <c r="V21" s="19">
        <v>0.9</v>
      </c>
      <c r="W21" s="25"/>
    </row>
    <row r="22" spans="1:23" ht="15.75" x14ac:dyDescent="0.25">
      <c r="A22" s="12">
        <v>15</v>
      </c>
      <c r="B22" s="22" t="s">
        <v>267</v>
      </c>
      <c r="C22" s="19" t="s">
        <v>138</v>
      </c>
      <c r="D22" s="19" t="s">
        <v>124</v>
      </c>
      <c r="E22" s="12">
        <v>7509.2</v>
      </c>
      <c r="F22" s="17">
        <f t="shared" si="84"/>
        <v>7079.5</v>
      </c>
      <c r="G22" s="19">
        <f t="shared" ref="G22" si="111">E22-F22</f>
        <v>429.69999999999982</v>
      </c>
      <c r="H22" s="91">
        <f t="shared" si="86"/>
        <v>1</v>
      </c>
      <c r="I22" s="19">
        <f t="shared" ref="I22" si="112">G22*H22</f>
        <v>429.69999999999982</v>
      </c>
      <c r="J22" s="12">
        <v>567.20000000000005</v>
      </c>
      <c r="K22" s="17">
        <f t="shared" si="88"/>
        <v>515.9</v>
      </c>
      <c r="L22" s="19">
        <f t="shared" ref="L22" si="113">J22-K22</f>
        <v>51.300000000000068</v>
      </c>
      <c r="M22" s="17">
        <f t="shared" si="90"/>
        <v>1</v>
      </c>
      <c r="N22" s="19">
        <f t="shared" ref="N22" si="114">L22*M22</f>
        <v>51.300000000000068</v>
      </c>
      <c r="O22" s="17">
        <f t="shared" ref="O22" si="115">N22-I22</f>
        <v>-378.39999999999975</v>
      </c>
      <c r="P22" s="12">
        <v>7942.9</v>
      </c>
      <c r="Q22" s="17">
        <f t="shared" si="93"/>
        <v>7761.9</v>
      </c>
      <c r="R22" s="19">
        <f t="shared" ref="R22" si="116">P22-Q22</f>
        <v>181</v>
      </c>
      <c r="S22" s="17">
        <f t="shared" si="95"/>
        <v>1</v>
      </c>
      <c r="T22" s="19">
        <f t="shared" ref="T22" si="117">R22*S22</f>
        <v>181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138</v>
      </c>
      <c r="D23" s="19" t="s">
        <v>124</v>
      </c>
      <c r="E23" s="12">
        <v>7920.4</v>
      </c>
      <c r="F23" s="17">
        <f t="shared" si="84"/>
        <v>7509.2</v>
      </c>
      <c r="G23" s="19">
        <f t="shared" ref="G23" si="118">E23-F23</f>
        <v>411.19999999999982</v>
      </c>
      <c r="H23" s="91">
        <f t="shared" si="86"/>
        <v>1</v>
      </c>
      <c r="I23" s="19">
        <f t="shared" ref="I23" si="119">G23*H23</f>
        <v>411.19999999999982</v>
      </c>
      <c r="J23" s="12">
        <v>618.79999999999995</v>
      </c>
      <c r="K23" s="17">
        <f t="shared" si="88"/>
        <v>567.20000000000005</v>
      </c>
      <c r="L23" s="19">
        <f t="shared" ref="L23" si="120">J23-K23</f>
        <v>51.599999999999909</v>
      </c>
      <c r="M23" s="17">
        <f t="shared" si="90"/>
        <v>1</v>
      </c>
      <c r="N23" s="19">
        <f t="shared" ref="N23" si="121">L23*M23</f>
        <v>51.599999999999909</v>
      </c>
      <c r="O23" s="17">
        <f t="shared" ref="O23" si="122">N23-I23</f>
        <v>-359.59999999999991</v>
      </c>
      <c r="P23" s="12">
        <v>8144.9</v>
      </c>
      <c r="Q23" s="17">
        <f t="shared" si="93"/>
        <v>7942.9</v>
      </c>
      <c r="R23" s="19">
        <f t="shared" ref="R23" si="123">P23-Q23</f>
        <v>202</v>
      </c>
      <c r="S23" s="17">
        <f t="shared" si="95"/>
        <v>1</v>
      </c>
      <c r="T23" s="19">
        <f t="shared" ref="T23" si="124">R23*S23</f>
        <v>202</v>
      </c>
      <c r="U23" s="19">
        <v>2.81</v>
      </c>
      <c r="V23" s="19">
        <v>0.83</v>
      </c>
      <c r="W23" s="25"/>
    </row>
    <row r="24" spans="1:23" ht="15.75" x14ac:dyDescent="0.25">
      <c r="A24" s="12">
        <v>17</v>
      </c>
      <c r="B24" s="22" t="s">
        <v>272</v>
      </c>
      <c r="C24" s="19" t="s">
        <v>138</v>
      </c>
      <c r="D24" s="19" t="s">
        <v>124</v>
      </c>
      <c r="E24" s="12">
        <v>8293.5</v>
      </c>
      <c r="F24" s="17">
        <f t="shared" si="84"/>
        <v>7920.4</v>
      </c>
      <c r="G24" s="19">
        <f t="shared" ref="G24" si="125">E24-F24</f>
        <v>373.10000000000036</v>
      </c>
      <c r="H24" s="91">
        <f t="shared" si="86"/>
        <v>1</v>
      </c>
      <c r="I24" s="19">
        <f t="shared" ref="I24" si="126">G24*H24</f>
        <v>373.10000000000036</v>
      </c>
      <c r="J24" s="12">
        <v>677.8</v>
      </c>
      <c r="K24" s="17">
        <f t="shared" si="88"/>
        <v>618.79999999999995</v>
      </c>
      <c r="L24" s="19">
        <f t="shared" ref="L24" si="127">J24-K24</f>
        <v>59</v>
      </c>
      <c r="M24" s="17">
        <f t="shared" si="90"/>
        <v>1</v>
      </c>
      <c r="N24" s="19">
        <f t="shared" ref="N24" si="128">L24*M24</f>
        <v>59</v>
      </c>
      <c r="O24" s="17">
        <f t="shared" ref="O24" si="129">N24-I24</f>
        <v>-314.10000000000036</v>
      </c>
      <c r="P24" s="12">
        <v>8369.4</v>
      </c>
      <c r="Q24" s="17">
        <f t="shared" si="93"/>
        <v>8144.9</v>
      </c>
      <c r="R24" s="19">
        <f t="shared" ref="R24" si="130">P24-Q24</f>
        <v>224.5</v>
      </c>
      <c r="S24" s="17">
        <f t="shared" si="95"/>
        <v>1</v>
      </c>
      <c r="T24" s="19">
        <f t="shared" ref="T24" si="131">R24*S24</f>
        <v>224.5</v>
      </c>
      <c r="U24" s="19">
        <v>1.78</v>
      </c>
      <c r="V24" s="19" t="s">
        <v>271</v>
      </c>
      <c r="W24" s="25"/>
    </row>
    <row r="25" spans="1:23" ht="15.75" x14ac:dyDescent="0.25">
      <c r="A25" s="12">
        <v>18</v>
      </c>
      <c r="B25" s="22" t="s">
        <v>274</v>
      </c>
      <c r="C25" s="19" t="s">
        <v>138</v>
      </c>
      <c r="D25" s="19" t="s">
        <v>124</v>
      </c>
      <c r="E25" s="12">
        <v>8682.4</v>
      </c>
      <c r="F25" s="17">
        <f t="shared" ref="F25" si="132">E24</f>
        <v>8293.5</v>
      </c>
      <c r="G25" s="19">
        <f t="shared" ref="G25" si="133">E25-F25</f>
        <v>388.89999999999964</v>
      </c>
      <c r="H25" s="91">
        <f t="shared" si="86"/>
        <v>1</v>
      </c>
      <c r="I25" s="19">
        <f t="shared" ref="I25" si="134">G25*H25</f>
        <v>388.89999999999964</v>
      </c>
      <c r="J25" s="12">
        <v>699</v>
      </c>
      <c r="K25" s="17">
        <f t="shared" ref="K25" si="135">J24</f>
        <v>677.8</v>
      </c>
      <c r="L25" s="19">
        <f t="shared" ref="L25" si="136">J25-K25</f>
        <v>21.200000000000045</v>
      </c>
      <c r="M25" s="17">
        <f t="shared" si="90"/>
        <v>1</v>
      </c>
      <c r="N25" s="19">
        <f t="shared" ref="N25" si="137">L25*M25</f>
        <v>21.200000000000045</v>
      </c>
      <c r="O25" s="17">
        <f t="shared" ref="O25" si="138">N25-I25</f>
        <v>-367.69999999999959</v>
      </c>
      <c r="P25" s="12">
        <v>8581.4</v>
      </c>
      <c r="Q25" s="17">
        <f t="shared" ref="Q25" si="139">P24</f>
        <v>8369.4</v>
      </c>
      <c r="R25" s="19">
        <f t="shared" ref="R25" si="140">P25-Q25</f>
        <v>212</v>
      </c>
      <c r="S25" s="17">
        <f t="shared" si="95"/>
        <v>1</v>
      </c>
      <c r="T25" s="19">
        <f t="shared" ref="T25" si="141">R25*S25</f>
        <v>212</v>
      </c>
      <c r="U25" s="19">
        <v>1.68</v>
      </c>
      <c r="V25" s="19"/>
      <c r="W25" s="25"/>
    </row>
    <row r="26" spans="1:23" ht="15.75" x14ac:dyDescent="0.25">
      <c r="A26" s="12">
        <v>19</v>
      </c>
      <c r="B26" s="22" t="s">
        <v>276</v>
      </c>
      <c r="C26" s="19" t="s">
        <v>138</v>
      </c>
      <c r="D26" s="19" t="s">
        <v>124</v>
      </c>
      <c r="E26" s="12">
        <v>9049.2000000000007</v>
      </c>
      <c r="F26" s="17">
        <f t="shared" ref="F26" si="142">E25</f>
        <v>8682.4</v>
      </c>
      <c r="G26" s="19">
        <f t="shared" ref="G26" si="143">E26-F26</f>
        <v>366.80000000000109</v>
      </c>
      <c r="H26" s="91">
        <f t="shared" si="86"/>
        <v>1</v>
      </c>
      <c r="I26" s="19">
        <f t="shared" ref="I26" si="144">G26*H26</f>
        <v>366.80000000000109</v>
      </c>
      <c r="J26" s="12">
        <v>720.4</v>
      </c>
      <c r="K26" s="17">
        <f t="shared" ref="K26" si="145">J25</f>
        <v>699</v>
      </c>
      <c r="L26" s="19">
        <f t="shared" ref="L26" si="146">J26-K26</f>
        <v>21.399999999999977</v>
      </c>
      <c r="M26" s="17">
        <f t="shared" si="90"/>
        <v>1</v>
      </c>
      <c r="N26" s="19">
        <f t="shared" ref="N26" si="147">L26*M26</f>
        <v>21.399999999999977</v>
      </c>
      <c r="O26" s="17">
        <f t="shared" ref="O26" si="148">N26-I26</f>
        <v>-345.40000000000111</v>
      </c>
      <c r="P26" s="12">
        <v>8608.7000000000007</v>
      </c>
      <c r="Q26" s="17">
        <f t="shared" ref="Q26" si="149">P25</f>
        <v>8581.4</v>
      </c>
      <c r="R26" s="19">
        <f t="shared" ref="R26" si="150">P26-Q26</f>
        <v>27.300000000001091</v>
      </c>
      <c r="S26" s="17">
        <f t="shared" si="95"/>
        <v>1</v>
      </c>
      <c r="T26" s="19">
        <f t="shared" ref="T26" si="151">R26*S26</f>
        <v>27.300000000001091</v>
      </c>
      <c r="U26" s="19">
        <v>1.59</v>
      </c>
      <c r="V26" s="19">
        <v>0.82</v>
      </c>
      <c r="W26" s="25"/>
    </row>
    <row r="27" spans="1:23" ht="15.75" x14ac:dyDescent="0.25">
      <c r="A27" s="12">
        <v>20</v>
      </c>
      <c r="B27" s="22" t="s">
        <v>262</v>
      </c>
      <c r="C27" s="19" t="s">
        <v>138</v>
      </c>
      <c r="D27" s="19" t="s">
        <v>124</v>
      </c>
      <c r="E27" s="12">
        <v>9440.2000000000007</v>
      </c>
      <c r="F27" s="17">
        <f t="shared" ref="F27" si="152">E26</f>
        <v>9049.2000000000007</v>
      </c>
      <c r="G27" s="19">
        <f t="shared" ref="G27" si="153">E27-F27</f>
        <v>391</v>
      </c>
      <c r="H27" s="91">
        <f t="shared" si="86"/>
        <v>1</v>
      </c>
      <c r="I27" s="19">
        <f t="shared" ref="I27" si="154">G27*H27</f>
        <v>391</v>
      </c>
      <c r="J27" s="12">
        <v>735.1</v>
      </c>
      <c r="K27" s="17">
        <f t="shared" ref="K27" si="155">J26</f>
        <v>720.4</v>
      </c>
      <c r="L27" s="19">
        <f t="shared" ref="L27" si="156">J27-K27</f>
        <v>14.700000000000045</v>
      </c>
      <c r="M27" s="17">
        <f t="shared" si="90"/>
        <v>1</v>
      </c>
      <c r="N27" s="19">
        <f t="shared" ref="N27" si="157">L27*M27</f>
        <v>14.700000000000045</v>
      </c>
      <c r="O27" s="17">
        <f t="shared" ref="O27" si="158">N27-I27</f>
        <v>-376.29999999999995</v>
      </c>
      <c r="P27" s="12">
        <v>8726.2000000000007</v>
      </c>
      <c r="Q27" s="17">
        <f t="shared" ref="Q27" si="159">P26</f>
        <v>8608.7000000000007</v>
      </c>
      <c r="R27" s="19">
        <f t="shared" ref="R27" si="160">P27-Q27</f>
        <v>117.5</v>
      </c>
      <c r="S27" s="17">
        <f t="shared" si="95"/>
        <v>1</v>
      </c>
      <c r="T27" s="19">
        <f t="shared" ref="T27" si="161">R27*S27</f>
        <v>117.5</v>
      </c>
      <c r="U27" s="19">
        <v>1.54</v>
      </c>
      <c r="V27" s="19"/>
      <c r="W27" s="25"/>
    </row>
    <row r="28" spans="1:23" ht="15.75" x14ac:dyDescent="0.25">
      <c r="A28" s="12">
        <v>21</v>
      </c>
      <c r="B28" s="22" t="s">
        <v>277</v>
      </c>
      <c r="C28" s="19" t="s">
        <v>138</v>
      </c>
      <c r="D28" s="19" t="s">
        <v>124</v>
      </c>
      <c r="E28" s="12">
        <v>9787.2000000000007</v>
      </c>
      <c r="F28" s="17">
        <f t="shared" ref="F28:F29" si="162">E27</f>
        <v>9440.2000000000007</v>
      </c>
      <c r="G28" s="19">
        <f t="shared" ref="G28" si="163">E28-F28</f>
        <v>347</v>
      </c>
      <c r="H28" s="91">
        <f t="shared" si="86"/>
        <v>1</v>
      </c>
      <c r="I28" s="19">
        <f t="shared" ref="I28" si="164">G28*H28</f>
        <v>347</v>
      </c>
      <c r="J28" s="12">
        <v>767</v>
      </c>
      <c r="K28" s="17">
        <f t="shared" ref="K28:K29" si="165">J27</f>
        <v>735.1</v>
      </c>
      <c r="L28" s="19">
        <f t="shared" ref="L28" si="166">J28-K28</f>
        <v>31.899999999999977</v>
      </c>
      <c r="M28" s="17">
        <f t="shared" si="90"/>
        <v>1</v>
      </c>
      <c r="N28" s="19">
        <f t="shared" ref="N28" si="167">L28*M28</f>
        <v>31.899999999999977</v>
      </c>
      <c r="O28" s="17">
        <f t="shared" ref="O28" si="168">N28-I28</f>
        <v>-315.10000000000002</v>
      </c>
      <c r="P28" s="12">
        <v>8890.7999999999993</v>
      </c>
      <c r="Q28" s="17">
        <f t="shared" ref="Q28" si="169">P27</f>
        <v>8726.2000000000007</v>
      </c>
      <c r="R28" s="19">
        <f t="shared" ref="R28" si="170">P28-Q28</f>
        <v>164.59999999999854</v>
      </c>
      <c r="S28" s="17">
        <f t="shared" si="95"/>
        <v>1</v>
      </c>
      <c r="T28" s="19">
        <f t="shared" ref="T28" si="171">R28*S28</f>
        <v>164.59999999999854</v>
      </c>
      <c r="U28" s="19">
        <v>2.06</v>
      </c>
      <c r="V28" s="19">
        <v>0.98</v>
      </c>
      <c r="W28" s="25"/>
    </row>
    <row r="29" spans="1:23" ht="15.75" x14ac:dyDescent="0.25">
      <c r="A29" s="12">
        <v>22</v>
      </c>
      <c r="B29" s="22" t="s">
        <v>278</v>
      </c>
      <c r="C29" s="19" t="s">
        <v>138</v>
      </c>
      <c r="D29" s="19" t="s">
        <v>124</v>
      </c>
      <c r="E29" s="12">
        <v>10241.6</v>
      </c>
      <c r="F29" s="17">
        <f t="shared" si="162"/>
        <v>9787.2000000000007</v>
      </c>
      <c r="G29" s="19">
        <f t="shared" ref="G29" si="172">E29-F29</f>
        <v>454.39999999999964</v>
      </c>
      <c r="H29" s="91">
        <f t="shared" si="86"/>
        <v>1</v>
      </c>
      <c r="I29" s="19">
        <f t="shared" ref="I29" si="173">G29*H29</f>
        <v>454.39999999999964</v>
      </c>
      <c r="J29" s="12">
        <v>795.4</v>
      </c>
      <c r="K29" s="17">
        <f t="shared" si="165"/>
        <v>767</v>
      </c>
      <c r="L29" s="19">
        <f t="shared" ref="L29" si="174">J29-K29</f>
        <v>28.399999999999977</v>
      </c>
      <c r="M29" s="17">
        <f t="shared" si="90"/>
        <v>1</v>
      </c>
      <c r="N29" s="19">
        <f t="shared" ref="N29" si="175">L29*M29</f>
        <v>28.399999999999977</v>
      </c>
      <c r="O29" s="17">
        <f t="shared" ref="O29:O31" si="176">N29-I29</f>
        <v>-425.99999999999966</v>
      </c>
      <c r="P29" s="12">
        <v>9093.2000000000007</v>
      </c>
      <c r="Q29" s="17">
        <f t="shared" ref="Q29" si="177">P28</f>
        <v>8890.7999999999993</v>
      </c>
      <c r="R29" s="19">
        <f t="shared" ref="R29" si="178">P29-Q29</f>
        <v>202.40000000000146</v>
      </c>
      <c r="S29" s="17">
        <f t="shared" si="95"/>
        <v>1</v>
      </c>
      <c r="T29" s="19">
        <f t="shared" ref="T29" si="179">R29*S29</f>
        <v>202.40000000000146</v>
      </c>
      <c r="U29" s="19"/>
      <c r="V29" s="19">
        <v>0.89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138</v>
      </c>
      <c r="D31" s="19" t="s">
        <v>124</v>
      </c>
      <c r="E31" s="12">
        <v>10691.6</v>
      </c>
      <c r="F31" s="17">
        <f t="shared" ref="F31" si="180">E29</f>
        <v>10241.6</v>
      </c>
      <c r="G31" s="19">
        <f t="shared" ref="G31" si="181">E31-F31</f>
        <v>450</v>
      </c>
      <c r="H31" s="91">
        <f>H29</f>
        <v>1</v>
      </c>
      <c r="I31" s="19">
        <f t="shared" ref="I31" si="182">G31*H31</f>
        <v>450</v>
      </c>
      <c r="J31" s="12">
        <v>819.4</v>
      </c>
      <c r="K31" s="17">
        <f t="shared" ref="K31" si="183">J29</f>
        <v>795.4</v>
      </c>
      <c r="L31" s="19">
        <f t="shared" ref="L31" si="184">J31-K31</f>
        <v>24</v>
      </c>
      <c r="M31" s="17">
        <f>M29</f>
        <v>1</v>
      </c>
      <c r="N31" s="19">
        <f t="shared" ref="N31" si="185">L31*M31</f>
        <v>24</v>
      </c>
      <c r="O31" s="17">
        <f t="shared" si="176"/>
        <v>-426</v>
      </c>
      <c r="P31" s="12">
        <v>9308.2000000000007</v>
      </c>
      <c r="Q31" s="17">
        <f t="shared" ref="Q31" si="186">P29</f>
        <v>9093.2000000000007</v>
      </c>
      <c r="R31" s="19">
        <f t="shared" ref="R31" si="187">P31-Q31</f>
        <v>215</v>
      </c>
      <c r="S31" s="17">
        <f>S29</f>
        <v>1</v>
      </c>
      <c r="T31" s="19">
        <f t="shared" ref="T31" si="188">R31*S31</f>
        <v>215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138</v>
      </c>
      <c r="D32" s="19" t="s">
        <v>124</v>
      </c>
      <c r="E32" s="12">
        <v>11135.9</v>
      </c>
      <c r="F32" s="17">
        <f t="shared" ref="F32" si="189">E31</f>
        <v>10691.6</v>
      </c>
      <c r="G32" s="19">
        <f t="shared" ref="G32" si="190">E32-F32</f>
        <v>444.29999999999927</v>
      </c>
      <c r="H32" s="91">
        <f t="shared" si="86"/>
        <v>1</v>
      </c>
      <c r="I32" s="19">
        <f t="shared" ref="I32" si="191">G32*H32</f>
        <v>444.29999999999927</v>
      </c>
      <c r="J32" s="12">
        <v>857.2</v>
      </c>
      <c r="K32" s="17">
        <f t="shared" ref="K32" si="192">J31</f>
        <v>819.4</v>
      </c>
      <c r="L32" s="19">
        <f t="shared" ref="L32" si="193">J32-K32</f>
        <v>37.800000000000068</v>
      </c>
      <c r="M32" s="17">
        <f t="shared" si="90"/>
        <v>1</v>
      </c>
      <c r="N32" s="19">
        <f t="shared" ref="N32" si="194">L32*M32</f>
        <v>37.800000000000068</v>
      </c>
      <c r="O32" s="17">
        <f t="shared" ref="O32" si="195">N32-I32</f>
        <v>-406.4999999999992</v>
      </c>
      <c r="P32" s="12">
        <v>9479.4</v>
      </c>
      <c r="Q32" s="17">
        <f t="shared" ref="Q32" si="196">P31</f>
        <v>9308.2000000000007</v>
      </c>
      <c r="R32" s="19">
        <f t="shared" ref="R32" si="197">P32-Q32</f>
        <v>171.19999999999891</v>
      </c>
      <c r="S32" s="17">
        <f t="shared" si="95"/>
        <v>1</v>
      </c>
      <c r="T32" s="19">
        <f t="shared" ref="T32" si="198">R32*S32</f>
        <v>171.19999999999891</v>
      </c>
      <c r="U32" s="19">
        <v>2.84</v>
      </c>
      <c r="V32" s="19">
        <v>0.92</v>
      </c>
      <c r="W32" s="25"/>
    </row>
    <row r="33" spans="1:23" ht="15.75" x14ac:dyDescent="0.25">
      <c r="A33" s="12">
        <v>25</v>
      </c>
      <c r="B33" s="22" t="s">
        <v>281</v>
      </c>
      <c r="C33" s="19" t="s">
        <v>138</v>
      </c>
      <c r="D33" s="19" t="s">
        <v>124</v>
      </c>
      <c r="E33" s="12">
        <v>11507.5</v>
      </c>
      <c r="F33" s="17">
        <f t="shared" ref="F33" si="199">E32</f>
        <v>11135.9</v>
      </c>
      <c r="G33" s="19">
        <f t="shared" ref="G33" si="200">E33-F33</f>
        <v>371.60000000000036</v>
      </c>
      <c r="H33" s="91">
        <f t="shared" si="86"/>
        <v>1</v>
      </c>
      <c r="I33" s="19">
        <f t="shared" ref="I33" si="201">G33*H33</f>
        <v>371.60000000000036</v>
      </c>
      <c r="J33" s="12">
        <v>888.5</v>
      </c>
      <c r="K33" s="17">
        <f t="shared" ref="K33" si="202">J32</f>
        <v>857.2</v>
      </c>
      <c r="L33" s="19">
        <f t="shared" ref="L33" si="203">J33-K33</f>
        <v>31.299999999999955</v>
      </c>
      <c r="M33" s="17">
        <f t="shared" si="90"/>
        <v>1</v>
      </c>
      <c r="N33" s="19">
        <f t="shared" ref="N33" si="204">L33*M33</f>
        <v>31.299999999999955</v>
      </c>
      <c r="O33" s="17">
        <f t="shared" ref="O33" si="205">N33-I33</f>
        <v>-340.30000000000041</v>
      </c>
      <c r="P33" s="12">
        <v>9659</v>
      </c>
      <c r="Q33" s="17">
        <f t="shared" ref="Q33" si="206">P32</f>
        <v>9479.4</v>
      </c>
      <c r="R33" s="19">
        <f t="shared" ref="R33" si="207">P33-Q33</f>
        <v>179.60000000000036</v>
      </c>
      <c r="S33" s="17">
        <f t="shared" si="95"/>
        <v>1</v>
      </c>
      <c r="T33" s="19">
        <f t="shared" ref="T33" si="208">R33*S33</f>
        <v>179.60000000000036</v>
      </c>
      <c r="U33" s="19">
        <v>1.94</v>
      </c>
      <c r="V33" s="19">
        <v>0.92</v>
      </c>
      <c r="W33" s="25"/>
    </row>
    <row r="34" spans="1:23" ht="15.75" x14ac:dyDescent="0.25">
      <c r="A34" s="12">
        <v>26</v>
      </c>
      <c r="B34" s="22" t="s">
        <v>282</v>
      </c>
      <c r="C34" s="19" t="s">
        <v>138</v>
      </c>
      <c r="D34" s="19" t="s">
        <v>124</v>
      </c>
      <c r="E34" s="12">
        <v>11946.2</v>
      </c>
      <c r="F34" s="17">
        <f t="shared" ref="F34" si="209">E33</f>
        <v>11507.5</v>
      </c>
      <c r="G34" s="19">
        <f t="shared" ref="G34" si="210">E34-F34</f>
        <v>438.70000000000073</v>
      </c>
      <c r="H34" s="91">
        <f t="shared" si="86"/>
        <v>1</v>
      </c>
      <c r="I34" s="19">
        <f t="shared" ref="I34" si="211">G34*H34</f>
        <v>438.70000000000073</v>
      </c>
      <c r="J34" s="12">
        <v>907.5</v>
      </c>
      <c r="K34" s="17">
        <f t="shared" ref="K34" si="212">J33</f>
        <v>888.5</v>
      </c>
      <c r="L34" s="19">
        <f t="shared" ref="L34" si="213">J34-K34</f>
        <v>19</v>
      </c>
      <c r="M34" s="17">
        <f t="shared" si="90"/>
        <v>1</v>
      </c>
      <c r="N34" s="19">
        <f t="shared" ref="N34" si="214">L34*M34</f>
        <v>19</v>
      </c>
      <c r="O34" s="17">
        <f t="shared" ref="O34" si="215">N34-I34</f>
        <v>-419.70000000000073</v>
      </c>
      <c r="P34" s="12">
        <v>9824.5</v>
      </c>
      <c r="Q34" s="17">
        <f t="shared" ref="Q34" si="216">P33</f>
        <v>9659</v>
      </c>
      <c r="R34" s="19">
        <f t="shared" ref="R34" si="217">P34-Q34</f>
        <v>165.5</v>
      </c>
      <c r="S34" s="17">
        <f t="shared" si="95"/>
        <v>1</v>
      </c>
      <c r="T34" s="19">
        <f t="shared" ref="T34" si="218">R34*S34</f>
        <v>165.5</v>
      </c>
      <c r="U34" s="19">
        <v>1.9</v>
      </c>
      <c r="V34" s="19">
        <v>0.85</v>
      </c>
      <c r="W34" s="25"/>
    </row>
    <row r="35" spans="1:23" ht="15.75" x14ac:dyDescent="0.25">
      <c r="A35" s="12">
        <v>27</v>
      </c>
      <c r="B35" s="22" t="s">
        <v>283</v>
      </c>
      <c r="C35" s="19" t="s">
        <v>138</v>
      </c>
      <c r="D35" s="19" t="s">
        <v>124</v>
      </c>
      <c r="E35" s="12">
        <v>12374.5</v>
      </c>
      <c r="F35" s="17">
        <f t="shared" ref="F35" si="219">E34</f>
        <v>11946.2</v>
      </c>
      <c r="G35" s="19">
        <f t="shared" ref="G35" si="220">E35-F35</f>
        <v>428.29999999999927</v>
      </c>
      <c r="H35" s="91">
        <f t="shared" si="86"/>
        <v>1</v>
      </c>
      <c r="I35" s="19">
        <f t="shared" ref="I35" si="221">G35*H35</f>
        <v>428.29999999999927</v>
      </c>
      <c r="J35" s="12">
        <v>930.9</v>
      </c>
      <c r="K35" s="17">
        <f t="shared" ref="K35" si="222">J34</f>
        <v>907.5</v>
      </c>
      <c r="L35" s="19">
        <f t="shared" ref="L35" si="223">J35-K35</f>
        <v>23.399999999999977</v>
      </c>
      <c r="M35" s="17">
        <f t="shared" si="90"/>
        <v>1</v>
      </c>
      <c r="N35" s="19">
        <f t="shared" ref="N35" si="224">L35*M35</f>
        <v>23.399999999999977</v>
      </c>
      <c r="O35" s="17">
        <f t="shared" ref="O35" si="225">N35-I35</f>
        <v>-404.8999999999993</v>
      </c>
      <c r="P35" s="12">
        <v>9984.5</v>
      </c>
      <c r="Q35" s="17">
        <f t="shared" ref="Q35" si="226">P34</f>
        <v>9824.5</v>
      </c>
      <c r="R35" s="19">
        <f t="shared" ref="R35" si="227">P35-Q35</f>
        <v>160</v>
      </c>
      <c r="S35" s="17">
        <f t="shared" si="95"/>
        <v>1</v>
      </c>
      <c r="T35" s="19">
        <f t="shared" ref="T35" si="228">R35*S35</f>
        <v>160</v>
      </c>
      <c r="U35" s="19">
        <v>1.66</v>
      </c>
      <c r="V35" s="19">
        <v>0.88</v>
      </c>
      <c r="W35" s="25"/>
    </row>
    <row r="36" spans="1:23" ht="15.75" x14ac:dyDescent="0.25">
      <c r="A36" s="12">
        <v>28</v>
      </c>
      <c r="B36" s="22" t="s">
        <v>284</v>
      </c>
      <c r="C36" s="19" t="s">
        <v>138</v>
      </c>
      <c r="D36" s="19" t="s">
        <v>124</v>
      </c>
      <c r="E36" s="12">
        <v>12754.4</v>
      </c>
      <c r="F36" s="17">
        <f t="shared" ref="F36" si="229">E35</f>
        <v>12374.5</v>
      </c>
      <c r="G36" s="19">
        <f t="shared" ref="G36" si="230">E36-F36</f>
        <v>379.89999999999964</v>
      </c>
      <c r="H36" s="91">
        <f t="shared" si="86"/>
        <v>1</v>
      </c>
      <c r="I36" s="19">
        <f t="shared" ref="I36" si="231">G36*H36</f>
        <v>379.89999999999964</v>
      </c>
      <c r="J36" s="12">
        <v>971.3</v>
      </c>
      <c r="K36" s="17">
        <f t="shared" ref="K36" si="232">J35</f>
        <v>930.9</v>
      </c>
      <c r="L36" s="19">
        <f t="shared" ref="L36" si="233">J36-K36</f>
        <v>40.399999999999977</v>
      </c>
      <c r="M36" s="17">
        <f t="shared" si="90"/>
        <v>1</v>
      </c>
      <c r="N36" s="19">
        <f t="shared" ref="N36" si="234">L36*M36</f>
        <v>40.399999999999977</v>
      </c>
      <c r="O36" s="17">
        <f t="shared" ref="O36" si="235">N36-I36</f>
        <v>-339.49999999999966</v>
      </c>
      <c r="P36" s="12">
        <v>10174.299999999999</v>
      </c>
      <c r="Q36" s="17">
        <f t="shared" ref="Q36" si="236">P35</f>
        <v>9984.5</v>
      </c>
      <c r="R36" s="19">
        <f t="shared" ref="R36" si="237">P36-Q36</f>
        <v>189.79999999999927</v>
      </c>
      <c r="S36" s="17">
        <f t="shared" si="95"/>
        <v>1</v>
      </c>
      <c r="T36" s="19">
        <f t="shared" ref="T36" si="238">R36*S36</f>
        <v>189.79999999999927</v>
      </c>
      <c r="U36" s="19">
        <v>2.81</v>
      </c>
      <c r="V36" s="19">
        <v>0.9</v>
      </c>
      <c r="W36" s="25"/>
    </row>
    <row r="37" spans="1:23" ht="15.75" x14ac:dyDescent="0.25">
      <c r="A37" s="12">
        <v>29</v>
      </c>
      <c r="B37" s="22" t="s">
        <v>286</v>
      </c>
      <c r="C37" s="19" t="s">
        <v>138</v>
      </c>
      <c r="D37" s="19" t="s">
        <v>124</v>
      </c>
      <c r="E37" s="12">
        <v>13142.7</v>
      </c>
      <c r="F37" s="17">
        <f t="shared" ref="F37" si="239">E36</f>
        <v>12754.4</v>
      </c>
      <c r="G37" s="19">
        <f t="shared" ref="G37" si="240">E37-F37</f>
        <v>388.30000000000109</v>
      </c>
      <c r="H37" s="91">
        <f t="shared" si="86"/>
        <v>1</v>
      </c>
      <c r="I37" s="19">
        <f t="shared" ref="I37" si="241">G37*H37</f>
        <v>388.30000000000109</v>
      </c>
      <c r="J37" s="12">
        <v>1007.8</v>
      </c>
      <c r="K37" s="17">
        <f t="shared" ref="K37" si="242">J36</f>
        <v>971.3</v>
      </c>
      <c r="L37" s="19">
        <f t="shared" ref="L37" si="243">J37-K37</f>
        <v>36.5</v>
      </c>
      <c r="M37" s="17">
        <f t="shared" si="90"/>
        <v>1</v>
      </c>
      <c r="N37" s="19">
        <f t="shared" ref="N37" si="244">L37*M37</f>
        <v>36.5</v>
      </c>
      <c r="O37" s="17">
        <f t="shared" ref="O37" si="245">N37-I37</f>
        <v>-351.80000000000109</v>
      </c>
      <c r="P37" s="12">
        <v>10374.4</v>
      </c>
      <c r="Q37" s="17">
        <f t="shared" ref="Q37" si="246">P36</f>
        <v>10174.299999999999</v>
      </c>
      <c r="R37" s="19">
        <f t="shared" ref="R37" si="247">P37-Q37</f>
        <v>200.10000000000036</v>
      </c>
      <c r="S37" s="17">
        <f t="shared" si="95"/>
        <v>1</v>
      </c>
      <c r="T37" s="19">
        <f t="shared" ref="T37" si="248">R37*S37</f>
        <v>200.10000000000036</v>
      </c>
      <c r="U37" s="19">
        <v>1.7</v>
      </c>
      <c r="V37" s="19">
        <v>0.89</v>
      </c>
      <c r="W37" s="25"/>
    </row>
    <row r="38" spans="1:23" ht="15.75" x14ac:dyDescent="0.25">
      <c r="A38" s="12">
        <v>30</v>
      </c>
      <c r="B38" s="22" t="s">
        <v>288</v>
      </c>
      <c r="C38" s="19" t="s">
        <v>138</v>
      </c>
      <c r="D38" s="19" t="s">
        <v>124</v>
      </c>
      <c r="E38" s="12">
        <v>13529.7</v>
      </c>
      <c r="F38" s="17">
        <f t="shared" ref="F38" si="249">E37</f>
        <v>13142.7</v>
      </c>
      <c r="G38" s="19">
        <f t="shared" ref="G38" si="250">E38-F38</f>
        <v>387</v>
      </c>
      <c r="H38" s="91">
        <f t="shared" si="86"/>
        <v>1</v>
      </c>
      <c r="I38" s="19">
        <f t="shared" ref="I38" si="251">G38*H38</f>
        <v>387</v>
      </c>
      <c r="J38" s="12">
        <v>1016.2</v>
      </c>
      <c r="K38" s="17">
        <f t="shared" ref="K38" si="252">J37</f>
        <v>1007.8</v>
      </c>
      <c r="L38" s="19">
        <f t="shared" ref="L38" si="253">J38-K38</f>
        <v>8.4000000000000909</v>
      </c>
      <c r="M38" s="17">
        <f t="shared" si="90"/>
        <v>1</v>
      </c>
      <c r="N38" s="19">
        <f t="shared" ref="N38" si="254">L38*M38</f>
        <v>8.4000000000000909</v>
      </c>
      <c r="O38" s="17">
        <f t="shared" ref="O38" si="255">N38-I38</f>
        <v>-378.59999999999991</v>
      </c>
      <c r="P38" s="12">
        <v>10454.5</v>
      </c>
      <c r="Q38" s="17">
        <f t="shared" ref="Q38" si="256">P37</f>
        <v>10374.4</v>
      </c>
      <c r="R38" s="19">
        <f t="shared" ref="R38" si="257">P38-Q38</f>
        <v>80.100000000000364</v>
      </c>
      <c r="S38" s="17">
        <f t="shared" si="95"/>
        <v>1</v>
      </c>
      <c r="T38" s="19">
        <f t="shared" ref="T38" si="258">R38*S38</f>
        <v>80.100000000000364</v>
      </c>
      <c r="U38" s="19">
        <v>2.12</v>
      </c>
      <c r="V38" s="19">
        <v>0.92</v>
      </c>
      <c r="W38" s="25"/>
    </row>
    <row r="39" spans="1:23" ht="15.75" x14ac:dyDescent="0.25">
      <c r="A39" s="12">
        <v>31</v>
      </c>
      <c r="B39" s="22" t="s">
        <v>289</v>
      </c>
      <c r="C39" s="19" t="s">
        <v>138</v>
      </c>
      <c r="D39" s="19" t="s">
        <v>124</v>
      </c>
      <c r="E39" s="12">
        <v>13947.4</v>
      </c>
      <c r="F39" s="17">
        <f t="shared" ref="F39" si="259">E38</f>
        <v>13529.7</v>
      </c>
      <c r="G39" s="19">
        <f t="shared" ref="G39" si="260">E39-F39</f>
        <v>417.69999999999891</v>
      </c>
      <c r="H39" s="91">
        <f t="shared" si="86"/>
        <v>1</v>
      </c>
      <c r="I39" s="19">
        <f t="shared" ref="I39" si="261">G39*H39</f>
        <v>417.69999999999891</v>
      </c>
      <c r="J39" s="12">
        <v>1021.2</v>
      </c>
      <c r="K39" s="17">
        <f t="shared" ref="K39" si="262">J38</f>
        <v>1016.2</v>
      </c>
      <c r="L39" s="19">
        <f t="shared" ref="L39" si="263">J39-K39</f>
        <v>5</v>
      </c>
      <c r="M39" s="17">
        <f t="shared" si="90"/>
        <v>1</v>
      </c>
      <c r="N39" s="19">
        <f t="shared" ref="N39" si="264">L39*M39</f>
        <v>5</v>
      </c>
      <c r="O39" s="17">
        <f t="shared" ref="O39" si="265">N39-I39</f>
        <v>-412.69999999999891</v>
      </c>
      <c r="P39" s="12">
        <v>10532.3</v>
      </c>
      <c r="Q39" s="17">
        <f t="shared" ref="Q39" si="266">P38</f>
        <v>10454.5</v>
      </c>
      <c r="R39" s="19">
        <f t="shared" ref="R39" si="267">P39-Q39</f>
        <v>77.799999999999272</v>
      </c>
      <c r="S39" s="17">
        <f t="shared" si="95"/>
        <v>1</v>
      </c>
      <c r="T39" s="19">
        <f t="shared" ref="T39" si="268">R39*S39</f>
        <v>77.799999999999272</v>
      </c>
      <c r="U39" s="19">
        <v>1.5</v>
      </c>
      <c r="V39" s="19">
        <v>0.93</v>
      </c>
      <c r="W39" s="25"/>
    </row>
    <row r="40" spans="1:23" ht="15.75" x14ac:dyDescent="0.25">
      <c r="A40" s="12">
        <v>32</v>
      </c>
      <c r="B40" s="22" t="s">
        <v>290</v>
      </c>
      <c r="C40" s="19" t="s">
        <v>138</v>
      </c>
      <c r="D40" s="19" t="s">
        <v>124</v>
      </c>
      <c r="E40" s="12">
        <v>14392.7</v>
      </c>
      <c r="F40" s="17">
        <f t="shared" ref="F40" si="269">E39</f>
        <v>13947.4</v>
      </c>
      <c r="G40" s="19">
        <f t="shared" ref="G40" si="270">E40-F40</f>
        <v>445.30000000000109</v>
      </c>
      <c r="H40" s="91">
        <f t="shared" si="86"/>
        <v>1</v>
      </c>
      <c r="I40" s="19">
        <f t="shared" ref="I40" si="271">G40*H40</f>
        <v>445.30000000000109</v>
      </c>
      <c r="J40" s="12">
        <v>1024.2</v>
      </c>
      <c r="K40" s="17">
        <f t="shared" ref="K40" si="272">J39</f>
        <v>1021.2</v>
      </c>
      <c r="L40" s="19">
        <f t="shared" ref="L40" si="273">J40-K40</f>
        <v>3</v>
      </c>
      <c r="M40" s="17">
        <f t="shared" si="90"/>
        <v>1</v>
      </c>
      <c r="N40" s="19">
        <f t="shared" ref="N40" si="274">L40*M40</f>
        <v>3</v>
      </c>
      <c r="O40" s="17">
        <f t="shared" ref="O40" si="275">N40-I40</f>
        <v>-442.30000000000109</v>
      </c>
      <c r="P40" s="12">
        <v>10607.8</v>
      </c>
      <c r="Q40" s="17">
        <f t="shared" ref="Q40" si="276">P39</f>
        <v>10532.3</v>
      </c>
      <c r="R40" s="19">
        <f t="shared" ref="R40" si="277">P40-Q40</f>
        <v>75.5</v>
      </c>
      <c r="S40" s="17">
        <f t="shared" si="95"/>
        <v>1</v>
      </c>
      <c r="T40" s="19">
        <f t="shared" ref="T40" si="278">R40*S40</f>
        <v>75.5</v>
      </c>
      <c r="U40" s="19">
        <v>1.58</v>
      </c>
      <c r="V40" s="19">
        <v>0.95</v>
      </c>
      <c r="W40" s="25"/>
    </row>
    <row r="41" spans="1:23" ht="15.75" x14ac:dyDescent="0.25">
      <c r="A41" s="12">
        <v>33</v>
      </c>
      <c r="B41" s="22" t="s">
        <v>291</v>
      </c>
      <c r="C41" s="19" t="s">
        <v>138</v>
      </c>
      <c r="D41" s="19" t="s">
        <v>124</v>
      </c>
      <c r="E41" s="12">
        <v>14797</v>
      </c>
      <c r="F41" s="17">
        <f t="shared" ref="F41:F48" si="279">E40</f>
        <v>14392.7</v>
      </c>
      <c r="G41" s="19">
        <f t="shared" ref="G41:G48" si="280">E41-F41</f>
        <v>404.29999999999927</v>
      </c>
      <c r="H41" s="91">
        <f t="shared" si="86"/>
        <v>1</v>
      </c>
      <c r="I41" s="19">
        <f t="shared" ref="I41:I48" si="281">G41*H41</f>
        <v>404.29999999999927</v>
      </c>
      <c r="J41" s="12">
        <v>1030.8</v>
      </c>
      <c r="K41" s="17">
        <f t="shared" ref="K41:K48" si="282">J40</f>
        <v>1024.2</v>
      </c>
      <c r="L41" s="19">
        <f t="shared" ref="L41:L48" si="283">J41-K41</f>
        <v>6.5999999999999091</v>
      </c>
      <c r="M41" s="17">
        <f t="shared" si="90"/>
        <v>1</v>
      </c>
      <c r="N41" s="19">
        <f t="shared" ref="N41:N48" si="284">L41*M41</f>
        <v>6.5999999999999091</v>
      </c>
      <c r="O41" s="17">
        <f t="shared" ref="O41:O48" si="285">N41-I41</f>
        <v>-397.69999999999936</v>
      </c>
      <c r="P41" s="12">
        <v>10723.3</v>
      </c>
      <c r="Q41" s="17">
        <f t="shared" ref="Q41:Q48" si="286">P40</f>
        <v>10607.8</v>
      </c>
      <c r="R41" s="19">
        <f t="shared" ref="R41:R48" si="287">P41-Q41</f>
        <v>115.5</v>
      </c>
      <c r="S41" s="17">
        <f t="shared" si="95"/>
        <v>1</v>
      </c>
      <c r="T41" s="19">
        <f t="shared" ref="T41:T48" si="288">R41*S41</f>
        <v>115.5</v>
      </c>
      <c r="U41" s="19">
        <v>2.08</v>
      </c>
      <c r="V41" s="19">
        <v>0.93</v>
      </c>
      <c r="W41" s="25"/>
    </row>
    <row r="42" spans="1:23" ht="15.75" x14ac:dyDescent="0.25">
      <c r="A42" s="12">
        <v>34</v>
      </c>
      <c r="B42" s="22" t="s">
        <v>292</v>
      </c>
      <c r="C42" s="19" t="s">
        <v>138</v>
      </c>
      <c r="D42" s="19" t="s">
        <v>124</v>
      </c>
      <c r="E42" s="12">
        <v>15249.9</v>
      </c>
      <c r="F42" s="17">
        <f t="shared" si="279"/>
        <v>14797</v>
      </c>
      <c r="G42" s="19">
        <f t="shared" si="280"/>
        <v>452.89999999999964</v>
      </c>
      <c r="H42" s="91">
        <f t="shared" si="86"/>
        <v>1</v>
      </c>
      <c r="I42" s="19">
        <f t="shared" si="281"/>
        <v>452.89999999999964</v>
      </c>
      <c r="J42" s="12">
        <v>1039</v>
      </c>
      <c r="K42" s="17">
        <f t="shared" si="282"/>
        <v>1030.8</v>
      </c>
      <c r="L42" s="19">
        <f t="shared" si="283"/>
        <v>8.2000000000000455</v>
      </c>
      <c r="M42" s="17">
        <f t="shared" si="90"/>
        <v>1</v>
      </c>
      <c r="N42" s="19">
        <f t="shared" si="284"/>
        <v>8.2000000000000455</v>
      </c>
      <c r="O42" s="17">
        <f t="shared" si="285"/>
        <v>-444.69999999999959</v>
      </c>
      <c r="P42" s="12">
        <v>10871.9</v>
      </c>
      <c r="Q42" s="17">
        <f t="shared" si="286"/>
        <v>10723.3</v>
      </c>
      <c r="R42" s="19">
        <f t="shared" si="287"/>
        <v>148.60000000000036</v>
      </c>
      <c r="S42" s="17">
        <f t="shared" si="95"/>
        <v>1</v>
      </c>
      <c r="T42" s="19">
        <f t="shared" si="288"/>
        <v>148.60000000000036</v>
      </c>
      <c r="U42" s="19">
        <v>1.88</v>
      </c>
      <c r="V42" s="19">
        <v>0.86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138</v>
      </c>
      <c r="D44" s="19" t="s">
        <v>124</v>
      </c>
      <c r="E44" s="12">
        <v>15709.1</v>
      </c>
      <c r="F44" s="17">
        <f>E42</f>
        <v>15249.9</v>
      </c>
      <c r="G44" s="19">
        <f t="shared" si="280"/>
        <v>459.20000000000073</v>
      </c>
      <c r="H44" s="91">
        <f>H42</f>
        <v>1</v>
      </c>
      <c r="I44" s="19">
        <f t="shared" si="281"/>
        <v>459.20000000000073</v>
      </c>
      <c r="J44" s="12">
        <v>1053.8</v>
      </c>
      <c r="K44" s="17">
        <f>J42</f>
        <v>1039</v>
      </c>
      <c r="L44" s="19">
        <f t="shared" si="283"/>
        <v>14.799999999999955</v>
      </c>
      <c r="M44" s="17">
        <f>M42</f>
        <v>1</v>
      </c>
      <c r="N44" s="19">
        <f t="shared" si="284"/>
        <v>14.799999999999955</v>
      </c>
      <c r="O44" s="17">
        <f t="shared" si="285"/>
        <v>-444.40000000000077</v>
      </c>
      <c r="P44" s="12">
        <v>11072</v>
      </c>
      <c r="Q44" s="17">
        <f>P42</f>
        <v>10871.9</v>
      </c>
      <c r="R44" s="19">
        <f t="shared" si="287"/>
        <v>200.10000000000036</v>
      </c>
      <c r="S44" s="17">
        <f>S42</f>
        <v>1</v>
      </c>
      <c r="T44" s="19">
        <f t="shared" si="288"/>
        <v>200.10000000000036</v>
      </c>
      <c r="U44" s="19">
        <v>2.21</v>
      </c>
      <c r="V44" s="19">
        <v>0.89</v>
      </c>
      <c r="W44" s="25"/>
    </row>
    <row r="45" spans="1:23" ht="15.75" x14ac:dyDescent="0.25">
      <c r="A45" s="12">
        <v>36</v>
      </c>
      <c r="B45" s="22" t="s">
        <v>294</v>
      </c>
      <c r="C45" s="19" t="s">
        <v>138</v>
      </c>
      <c r="D45" s="19" t="s">
        <v>124</v>
      </c>
      <c r="E45" s="12">
        <v>16144.2</v>
      </c>
      <c r="F45" s="17">
        <f t="shared" si="279"/>
        <v>15709.1</v>
      </c>
      <c r="G45" s="19">
        <f t="shared" si="280"/>
        <v>435.10000000000036</v>
      </c>
      <c r="H45" s="91">
        <f t="shared" si="86"/>
        <v>1</v>
      </c>
      <c r="I45" s="19">
        <f t="shared" si="281"/>
        <v>435.10000000000036</v>
      </c>
      <c r="J45" s="12">
        <v>1068.0999999999999</v>
      </c>
      <c r="K45" s="17">
        <f t="shared" si="282"/>
        <v>1053.8</v>
      </c>
      <c r="L45" s="19">
        <f t="shared" si="283"/>
        <v>14.299999999999955</v>
      </c>
      <c r="M45" s="17">
        <f t="shared" si="90"/>
        <v>1</v>
      </c>
      <c r="N45" s="19">
        <f t="shared" si="284"/>
        <v>14.299999999999955</v>
      </c>
      <c r="O45" s="17">
        <f t="shared" si="285"/>
        <v>-420.80000000000041</v>
      </c>
      <c r="P45" s="12">
        <v>11200.6</v>
      </c>
      <c r="Q45" s="17">
        <f t="shared" si="286"/>
        <v>11072</v>
      </c>
      <c r="R45" s="19">
        <f t="shared" si="287"/>
        <v>128.60000000000036</v>
      </c>
      <c r="S45" s="17">
        <f t="shared" si="95"/>
        <v>1</v>
      </c>
      <c r="T45" s="19">
        <f t="shared" si="288"/>
        <v>128.60000000000036</v>
      </c>
      <c r="U45" s="19">
        <v>1.75</v>
      </c>
      <c r="V45" s="19">
        <v>0.85</v>
      </c>
      <c r="W45" s="25"/>
    </row>
    <row r="46" spans="1:23" ht="15.75" x14ac:dyDescent="0.25">
      <c r="A46" s="12">
        <v>37</v>
      </c>
      <c r="B46" s="22" t="s">
        <v>295</v>
      </c>
      <c r="C46" s="19" t="s">
        <v>138</v>
      </c>
      <c r="D46" s="19" t="s">
        <v>124</v>
      </c>
      <c r="E46" s="12">
        <v>16553.400000000001</v>
      </c>
      <c r="F46" s="17">
        <f t="shared" si="279"/>
        <v>16144.2</v>
      </c>
      <c r="G46" s="19">
        <f t="shared" si="280"/>
        <v>409.20000000000073</v>
      </c>
      <c r="H46" s="91">
        <f t="shared" si="86"/>
        <v>1</v>
      </c>
      <c r="I46" s="19">
        <f t="shared" si="281"/>
        <v>409.20000000000073</v>
      </c>
      <c r="J46" s="12">
        <v>1085.0999999999999</v>
      </c>
      <c r="K46" s="17">
        <f t="shared" si="282"/>
        <v>1068.0999999999999</v>
      </c>
      <c r="L46" s="19">
        <f t="shared" si="283"/>
        <v>17</v>
      </c>
      <c r="M46" s="17">
        <f t="shared" si="90"/>
        <v>1</v>
      </c>
      <c r="N46" s="19">
        <f t="shared" si="284"/>
        <v>17</v>
      </c>
      <c r="O46" s="17">
        <f t="shared" si="285"/>
        <v>-392.20000000000073</v>
      </c>
      <c r="P46" s="12">
        <v>11354.3</v>
      </c>
      <c r="Q46" s="17">
        <f t="shared" si="286"/>
        <v>11200.6</v>
      </c>
      <c r="R46" s="19">
        <f t="shared" si="287"/>
        <v>153.69999999999891</v>
      </c>
      <c r="S46" s="17">
        <f t="shared" si="95"/>
        <v>1</v>
      </c>
      <c r="T46" s="19">
        <f t="shared" si="288"/>
        <v>153.69999999999891</v>
      </c>
      <c r="U46" s="19">
        <v>2.5499999999999998</v>
      </c>
      <c r="V46" s="19">
        <v>0.93</v>
      </c>
      <c r="W46" s="25"/>
    </row>
    <row r="47" spans="1:23" ht="15.75" x14ac:dyDescent="0.25">
      <c r="A47" s="12">
        <v>38</v>
      </c>
      <c r="B47" s="22" t="s">
        <v>296</v>
      </c>
      <c r="C47" s="19" t="s">
        <v>138</v>
      </c>
      <c r="D47" s="19" t="s">
        <v>124</v>
      </c>
      <c r="E47" s="12">
        <v>17013.2</v>
      </c>
      <c r="F47" s="17">
        <f t="shared" si="279"/>
        <v>16553.400000000001</v>
      </c>
      <c r="G47" s="19">
        <f t="shared" si="280"/>
        <v>459.79999999999927</v>
      </c>
      <c r="H47" s="91">
        <f t="shared" si="86"/>
        <v>1</v>
      </c>
      <c r="I47" s="19">
        <f t="shared" si="281"/>
        <v>459.79999999999927</v>
      </c>
      <c r="J47" s="12">
        <v>1094.4000000000001</v>
      </c>
      <c r="K47" s="17">
        <f t="shared" si="282"/>
        <v>1085.0999999999999</v>
      </c>
      <c r="L47" s="19">
        <f t="shared" si="283"/>
        <v>9.3000000000001819</v>
      </c>
      <c r="M47" s="17">
        <f t="shared" si="90"/>
        <v>1</v>
      </c>
      <c r="N47" s="19">
        <f t="shared" si="284"/>
        <v>9.3000000000001819</v>
      </c>
      <c r="O47" s="17">
        <f t="shared" si="285"/>
        <v>-450.49999999999909</v>
      </c>
      <c r="P47" s="12">
        <v>11478.9</v>
      </c>
      <c r="Q47" s="17">
        <f t="shared" si="286"/>
        <v>11354.3</v>
      </c>
      <c r="R47" s="19">
        <f t="shared" si="287"/>
        <v>124.60000000000036</v>
      </c>
      <c r="S47" s="17">
        <f t="shared" si="95"/>
        <v>1</v>
      </c>
      <c r="T47" s="19">
        <f t="shared" si="288"/>
        <v>124.60000000000036</v>
      </c>
      <c r="U47" s="19">
        <v>2.27</v>
      </c>
      <c r="V47" s="19">
        <v>0.91</v>
      </c>
      <c r="W47" s="25"/>
    </row>
    <row r="48" spans="1:23" ht="15.75" x14ac:dyDescent="0.25">
      <c r="A48" s="12">
        <v>39</v>
      </c>
      <c r="B48" s="22" t="s">
        <v>297</v>
      </c>
      <c r="C48" s="19" t="s">
        <v>138</v>
      </c>
      <c r="D48" s="19" t="s">
        <v>124</v>
      </c>
      <c r="E48" s="12">
        <v>17469.900000000001</v>
      </c>
      <c r="F48" s="17">
        <f t="shared" si="279"/>
        <v>17013.2</v>
      </c>
      <c r="G48" s="19">
        <f t="shared" si="280"/>
        <v>456.70000000000073</v>
      </c>
      <c r="H48" s="91">
        <f t="shared" si="86"/>
        <v>1</v>
      </c>
      <c r="I48" s="19">
        <f t="shared" si="281"/>
        <v>456.70000000000073</v>
      </c>
      <c r="J48" s="12">
        <v>1104.5</v>
      </c>
      <c r="K48" s="17">
        <f t="shared" si="282"/>
        <v>1094.4000000000001</v>
      </c>
      <c r="L48" s="19">
        <f t="shared" si="283"/>
        <v>10.099999999999909</v>
      </c>
      <c r="M48" s="17">
        <f t="shared" si="90"/>
        <v>1</v>
      </c>
      <c r="N48" s="19">
        <f t="shared" si="284"/>
        <v>10.099999999999909</v>
      </c>
      <c r="O48" s="17">
        <f t="shared" si="285"/>
        <v>-446.60000000000082</v>
      </c>
      <c r="P48" s="12">
        <v>11614.4</v>
      </c>
      <c r="Q48" s="17">
        <f t="shared" si="286"/>
        <v>11478.9</v>
      </c>
      <c r="R48" s="19">
        <f t="shared" si="287"/>
        <v>135.5</v>
      </c>
      <c r="S48" s="17">
        <f t="shared" si="95"/>
        <v>1</v>
      </c>
      <c r="T48" s="19">
        <f t="shared" si="288"/>
        <v>135.5</v>
      </c>
      <c r="U48" s="19">
        <v>2.0099999999999998</v>
      </c>
      <c r="V48" s="19">
        <v>0.91</v>
      </c>
      <c r="W48" s="25"/>
    </row>
    <row r="49" spans="1:23" ht="15.75" x14ac:dyDescent="0.25">
      <c r="A49" s="12">
        <v>40</v>
      </c>
      <c r="B49" s="22" t="s">
        <v>298</v>
      </c>
      <c r="C49" s="19" t="s">
        <v>138</v>
      </c>
      <c r="D49" s="19" t="s">
        <v>124</v>
      </c>
      <c r="E49" s="12">
        <v>17856</v>
      </c>
      <c r="F49" s="17">
        <f t="shared" ref="F49" si="289">E48</f>
        <v>17469.900000000001</v>
      </c>
      <c r="G49" s="19">
        <f t="shared" ref="G49" si="290">E49-F49</f>
        <v>386.09999999999854</v>
      </c>
      <c r="H49" s="91">
        <f t="shared" si="86"/>
        <v>1</v>
      </c>
      <c r="I49" s="19">
        <f t="shared" ref="I49" si="291">G49*H49</f>
        <v>386.09999999999854</v>
      </c>
      <c r="J49" s="12">
        <v>1139.8</v>
      </c>
      <c r="K49" s="17">
        <f t="shared" ref="K49" si="292">J48</f>
        <v>1104.5</v>
      </c>
      <c r="L49" s="19">
        <f t="shared" ref="L49" si="293">J49-K49</f>
        <v>35.299999999999955</v>
      </c>
      <c r="M49" s="17">
        <f t="shared" si="90"/>
        <v>1</v>
      </c>
      <c r="N49" s="19">
        <f t="shared" ref="N49" si="294">L49*M49</f>
        <v>35.299999999999955</v>
      </c>
      <c r="O49" s="17">
        <f t="shared" ref="O49" si="295">N49-I49</f>
        <v>-350.79999999999859</v>
      </c>
      <c r="P49" s="12">
        <v>11782.4</v>
      </c>
      <c r="Q49" s="17">
        <f t="shared" ref="Q49" si="296">P48</f>
        <v>11614.4</v>
      </c>
      <c r="R49" s="19">
        <f t="shared" ref="R49" si="297">P49-Q49</f>
        <v>168</v>
      </c>
      <c r="S49" s="17">
        <f t="shared" si="95"/>
        <v>1</v>
      </c>
      <c r="T49" s="19">
        <f t="shared" ref="T49" si="298">R49*S49</f>
        <v>168</v>
      </c>
      <c r="U49" s="19">
        <v>1.71</v>
      </c>
      <c r="V49" s="19">
        <v>0.81</v>
      </c>
      <c r="W49" s="25"/>
    </row>
    <row r="50" spans="1:23" ht="15.75" x14ac:dyDescent="0.25">
      <c r="A50" s="12">
        <v>41</v>
      </c>
      <c r="B50" s="22" t="s">
        <v>299</v>
      </c>
      <c r="C50" s="19" t="s">
        <v>138</v>
      </c>
      <c r="D50" s="19" t="s">
        <v>124</v>
      </c>
      <c r="E50" s="12">
        <v>18257.099999999999</v>
      </c>
      <c r="F50" s="17">
        <f t="shared" ref="F50" si="299">E49</f>
        <v>17856</v>
      </c>
      <c r="G50" s="19">
        <f t="shared" ref="G50" si="300">E50-F50</f>
        <v>401.09999999999854</v>
      </c>
      <c r="H50" s="91">
        <f t="shared" si="86"/>
        <v>1</v>
      </c>
      <c r="I50" s="19">
        <f t="shared" ref="I50" si="301">G50*H50</f>
        <v>401.09999999999854</v>
      </c>
      <c r="J50" s="12">
        <v>1171.4000000000001</v>
      </c>
      <c r="K50" s="17">
        <f t="shared" ref="K50" si="302">J49</f>
        <v>1139.8</v>
      </c>
      <c r="L50" s="19">
        <f t="shared" ref="L50" si="303">J50-K50</f>
        <v>31.600000000000136</v>
      </c>
      <c r="M50" s="17">
        <f t="shared" si="90"/>
        <v>1</v>
      </c>
      <c r="N50" s="19">
        <f t="shared" ref="N50" si="304">L50*M50</f>
        <v>31.600000000000136</v>
      </c>
      <c r="O50" s="17">
        <f t="shared" ref="O50" si="305">N50-I50</f>
        <v>-369.49999999999841</v>
      </c>
      <c r="P50" s="12">
        <v>11946.2</v>
      </c>
      <c r="Q50" s="17">
        <f t="shared" ref="Q50" si="306">P49</f>
        <v>11782.4</v>
      </c>
      <c r="R50" s="19">
        <f t="shared" ref="R50" si="307">P50-Q50</f>
        <v>163.80000000000109</v>
      </c>
      <c r="S50" s="17">
        <f t="shared" si="95"/>
        <v>1</v>
      </c>
      <c r="T50" s="19">
        <f t="shared" ref="T50" si="308">R50*S50</f>
        <v>163.80000000000109</v>
      </c>
      <c r="U50" s="19">
        <v>2</v>
      </c>
      <c r="V50" s="19">
        <v>0.9</v>
      </c>
      <c r="W50" s="25"/>
    </row>
    <row r="51" spans="1:23" ht="15.75" x14ac:dyDescent="0.25">
      <c r="A51" s="12">
        <v>42</v>
      </c>
      <c r="B51" s="22" t="s">
        <v>300</v>
      </c>
      <c r="C51" s="19" t="s">
        <v>138</v>
      </c>
      <c r="D51" s="19" t="s">
        <v>124</v>
      </c>
      <c r="E51" s="12">
        <v>18660.8</v>
      </c>
      <c r="F51" s="17">
        <f t="shared" ref="F51:F54" si="309">E50</f>
        <v>18257.099999999999</v>
      </c>
      <c r="G51" s="19">
        <f t="shared" ref="G51:G54" si="310">E51-F51</f>
        <v>403.70000000000073</v>
      </c>
      <c r="H51" s="91">
        <f t="shared" si="86"/>
        <v>1</v>
      </c>
      <c r="I51" s="19">
        <f t="shared" ref="I51:I54" si="311">G51*H51</f>
        <v>403.70000000000073</v>
      </c>
      <c r="J51" s="12">
        <v>1183</v>
      </c>
      <c r="K51" s="17">
        <f t="shared" ref="K51:K54" si="312">J50</f>
        <v>1171.4000000000001</v>
      </c>
      <c r="L51" s="19">
        <f t="shared" ref="L51:L54" si="313">J51-K51</f>
        <v>11.599999999999909</v>
      </c>
      <c r="M51" s="17">
        <f t="shared" si="90"/>
        <v>1</v>
      </c>
      <c r="N51" s="19">
        <f t="shared" ref="N51:N54" si="314">L51*M51</f>
        <v>11.599999999999909</v>
      </c>
      <c r="O51" s="17">
        <f t="shared" ref="O51:O54" si="315">N51-I51</f>
        <v>-392.10000000000082</v>
      </c>
      <c r="P51" s="12">
        <v>12045.1</v>
      </c>
      <c r="Q51" s="17">
        <f t="shared" ref="Q51:Q54" si="316">P50</f>
        <v>11946.2</v>
      </c>
      <c r="R51" s="19">
        <f t="shared" ref="R51:R54" si="317">P51-Q51</f>
        <v>98.899999999999636</v>
      </c>
      <c r="S51" s="17">
        <f t="shared" si="95"/>
        <v>1</v>
      </c>
      <c r="T51" s="19">
        <f t="shared" ref="T51:T54" si="318">R51*S51</f>
        <v>98.899999999999636</v>
      </c>
      <c r="U51" s="19">
        <v>1.68</v>
      </c>
      <c r="V51" s="19">
        <v>0.9</v>
      </c>
      <c r="W51" s="25"/>
    </row>
    <row r="52" spans="1:23" ht="15.75" x14ac:dyDescent="0.25">
      <c r="A52" s="12">
        <v>43</v>
      </c>
      <c r="B52" s="22" t="s">
        <v>301</v>
      </c>
      <c r="C52" s="19" t="s">
        <v>138</v>
      </c>
      <c r="D52" s="19" t="s">
        <v>124</v>
      </c>
      <c r="E52" s="12">
        <v>18997.400000000001</v>
      </c>
      <c r="F52" s="17">
        <f t="shared" si="309"/>
        <v>18660.8</v>
      </c>
      <c r="G52" s="19">
        <f t="shared" si="310"/>
        <v>336.60000000000218</v>
      </c>
      <c r="H52" s="91">
        <f t="shared" si="86"/>
        <v>1</v>
      </c>
      <c r="I52" s="19">
        <f t="shared" si="311"/>
        <v>336.60000000000218</v>
      </c>
      <c r="J52" s="12">
        <v>1189.5</v>
      </c>
      <c r="K52" s="17">
        <f t="shared" si="312"/>
        <v>1183</v>
      </c>
      <c r="L52" s="19">
        <f t="shared" si="313"/>
        <v>6.5</v>
      </c>
      <c r="M52" s="17">
        <f t="shared" si="90"/>
        <v>1</v>
      </c>
      <c r="N52" s="19">
        <f t="shared" si="314"/>
        <v>6.5</v>
      </c>
      <c r="O52" s="17">
        <f t="shared" si="315"/>
        <v>-330.10000000000218</v>
      </c>
      <c r="P52" s="12">
        <v>12127.7</v>
      </c>
      <c r="Q52" s="17">
        <f t="shared" si="316"/>
        <v>12045.1</v>
      </c>
      <c r="R52" s="19">
        <f t="shared" si="317"/>
        <v>82.600000000000364</v>
      </c>
      <c r="S52" s="17">
        <f t="shared" si="95"/>
        <v>1</v>
      </c>
      <c r="T52" s="19">
        <f t="shared" si="318"/>
        <v>82.600000000000364</v>
      </c>
      <c r="U52" s="19">
        <v>1.43</v>
      </c>
      <c r="V52" s="19">
        <v>0.97</v>
      </c>
      <c r="W52" s="25"/>
    </row>
    <row r="53" spans="1:23" ht="15.75" x14ac:dyDescent="0.25">
      <c r="A53" s="112">
        <v>44</v>
      </c>
      <c r="B53" s="78" t="s">
        <v>302</v>
      </c>
      <c r="C53" s="110" t="s">
        <v>138</v>
      </c>
      <c r="D53" s="109" t="s">
        <v>124</v>
      </c>
      <c r="E53" s="107">
        <v>19372.599999999999</v>
      </c>
      <c r="F53" s="30">
        <f t="shared" si="309"/>
        <v>18997.400000000001</v>
      </c>
      <c r="G53" s="109">
        <f t="shared" si="310"/>
        <v>375.19999999999709</v>
      </c>
      <c r="H53" s="99">
        <f t="shared" si="86"/>
        <v>1</v>
      </c>
      <c r="I53" s="109">
        <f t="shared" si="311"/>
        <v>375.19999999999709</v>
      </c>
      <c r="J53" s="107">
        <v>1196</v>
      </c>
      <c r="K53" s="30">
        <f t="shared" si="312"/>
        <v>1189.5</v>
      </c>
      <c r="L53" s="109">
        <f t="shared" si="313"/>
        <v>6.5</v>
      </c>
      <c r="M53" s="30">
        <f t="shared" si="90"/>
        <v>1</v>
      </c>
      <c r="N53" s="109">
        <f t="shared" si="314"/>
        <v>6.5</v>
      </c>
      <c r="O53" s="30">
        <f t="shared" si="315"/>
        <v>-368.69999999999709</v>
      </c>
      <c r="P53" s="107">
        <v>12218.3</v>
      </c>
      <c r="Q53" s="30">
        <f t="shared" si="316"/>
        <v>12127.7</v>
      </c>
      <c r="R53" s="109">
        <f t="shared" si="317"/>
        <v>90.599999999998545</v>
      </c>
      <c r="S53" s="30">
        <f t="shared" si="95"/>
        <v>1</v>
      </c>
      <c r="T53" s="109">
        <f t="shared" si="318"/>
        <v>90.599999999998545</v>
      </c>
      <c r="U53" s="109">
        <v>1.48</v>
      </c>
      <c r="V53" s="109">
        <v>0.96</v>
      </c>
      <c r="W53" s="25"/>
    </row>
    <row r="54" spans="1:23" ht="15.75" x14ac:dyDescent="0.25">
      <c r="A54" s="105">
        <v>45</v>
      </c>
      <c r="B54" s="22" t="s">
        <v>303</v>
      </c>
      <c r="C54" s="111" t="s">
        <v>138</v>
      </c>
      <c r="D54" s="111" t="s">
        <v>124</v>
      </c>
      <c r="E54" s="105">
        <v>19735.400000000001</v>
      </c>
      <c r="F54" s="106">
        <f t="shared" si="309"/>
        <v>19372.599999999999</v>
      </c>
      <c r="G54" s="111">
        <f t="shared" si="310"/>
        <v>362.80000000000291</v>
      </c>
      <c r="H54" s="91">
        <f t="shared" si="86"/>
        <v>1</v>
      </c>
      <c r="I54" s="111">
        <f t="shared" si="311"/>
        <v>362.80000000000291</v>
      </c>
      <c r="J54" s="105">
        <v>1209.9000000000001</v>
      </c>
      <c r="K54" s="106">
        <f t="shared" si="312"/>
        <v>1196</v>
      </c>
      <c r="L54" s="111">
        <f t="shared" si="313"/>
        <v>13.900000000000091</v>
      </c>
      <c r="M54" s="106">
        <f t="shared" si="90"/>
        <v>1</v>
      </c>
      <c r="N54" s="111">
        <f t="shared" si="314"/>
        <v>13.900000000000091</v>
      </c>
      <c r="O54" s="106">
        <f t="shared" si="315"/>
        <v>-348.90000000000282</v>
      </c>
      <c r="P54" s="105">
        <v>12354.9</v>
      </c>
      <c r="Q54" s="106">
        <f t="shared" si="316"/>
        <v>12218.3</v>
      </c>
      <c r="R54" s="111">
        <f t="shared" si="317"/>
        <v>136.60000000000036</v>
      </c>
      <c r="S54" s="106">
        <f t="shared" si="95"/>
        <v>1</v>
      </c>
      <c r="T54" s="111">
        <f t="shared" si="318"/>
        <v>136.60000000000036</v>
      </c>
      <c r="U54" s="111">
        <v>1.48</v>
      </c>
      <c r="V54" s="111">
        <v>0.9</v>
      </c>
      <c r="W54" s="25"/>
    </row>
    <row r="55" spans="1:23" ht="15.75" x14ac:dyDescent="0.25">
      <c r="A55" s="120">
        <v>46</v>
      </c>
      <c r="B55" s="116" t="s">
        <v>305</v>
      </c>
      <c r="C55" s="118" t="s">
        <v>138</v>
      </c>
      <c r="D55" s="118" t="s">
        <v>124</v>
      </c>
      <c r="E55" s="120">
        <v>20141.900000000001</v>
      </c>
      <c r="F55" s="119">
        <f t="shared" ref="F55" si="319">E54</f>
        <v>19735.400000000001</v>
      </c>
      <c r="G55" s="118">
        <f t="shared" ref="G55" si="320">E55-F55</f>
        <v>406.5</v>
      </c>
      <c r="H55" s="91">
        <f t="shared" si="86"/>
        <v>1</v>
      </c>
      <c r="I55" s="118">
        <f t="shared" ref="I55" si="321">G55*H55</f>
        <v>406.5</v>
      </c>
      <c r="J55" s="120">
        <v>1229.7</v>
      </c>
      <c r="K55" s="119">
        <f t="shared" ref="K55" si="322">J54</f>
        <v>1209.9000000000001</v>
      </c>
      <c r="L55" s="118">
        <f t="shared" ref="L55" si="323">J55-K55</f>
        <v>19.799999999999955</v>
      </c>
      <c r="M55" s="119">
        <f t="shared" si="90"/>
        <v>1</v>
      </c>
      <c r="N55" s="118">
        <f t="shared" ref="N55" si="324">L55*M55</f>
        <v>19.799999999999955</v>
      </c>
      <c r="O55" s="119">
        <f t="shared" ref="O55" si="325">N55-I55</f>
        <v>-386.70000000000005</v>
      </c>
      <c r="P55" s="120">
        <v>12540.7</v>
      </c>
      <c r="Q55" s="119">
        <f t="shared" ref="Q55" si="326">P54</f>
        <v>12354.9</v>
      </c>
      <c r="R55" s="118">
        <f t="shared" ref="R55" si="327">P55-Q55</f>
        <v>185.80000000000109</v>
      </c>
      <c r="S55" s="119">
        <f t="shared" si="95"/>
        <v>1</v>
      </c>
      <c r="T55" s="118">
        <f t="shared" ref="T55" si="328">R55*S55</f>
        <v>185.80000000000109</v>
      </c>
      <c r="U55" s="118">
        <v>1.94</v>
      </c>
      <c r="V55" s="118">
        <v>0.93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138</v>
      </c>
      <c r="D57" s="123" t="s">
        <v>124</v>
      </c>
      <c r="E57" s="125">
        <v>20612.599999999999</v>
      </c>
      <c r="F57" s="124">
        <f t="shared" ref="F57" si="329">E55</f>
        <v>20141.900000000001</v>
      </c>
      <c r="G57" s="123">
        <f t="shared" ref="G57" si="330">E57-F57</f>
        <v>470.69999999999709</v>
      </c>
      <c r="H57" s="91">
        <f>H55</f>
        <v>1</v>
      </c>
      <c r="I57" s="123">
        <f t="shared" ref="I57" si="331">G57*H57</f>
        <v>470.69999999999709</v>
      </c>
      <c r="J57" s="125">
        <v>1239.0999999999999</v>
      </c>
      <c r="K57" s="124">
        <f t="shared" ref="K57" si="332">J55</f>
        <v>1229.7</v>
      </c>
      <c r="L57" s="123">
        <f t="shared" ref="L57" si="333">J57-K57</f>
        <v>9.3999999999998636</v>
      </c>
      <c r="M57" s="124">
        <f>M55</f>
        <v>1</v>
      </c>
      <c r="N57" s="123">
        <f t="shared" ref="N57" si="334">L57*M57</f>
        <v>9.3999999999998636</v>
      </c>
      <c r="O57" s="124">
        <f t="shared" ref="O57" si="335">N57-I57</f>
        <v>-461.29999999999723</v>
      </c>
      <c r="P57" s="125">
        <v>12700.3</v>
      </c>
      <c r="Q57" s="124">
        <f t="shared" ref="Q57" si="336">P55</f>
        <v>12540.7</v>
      </c>
      <c r="R57" s="123">
        <f t="shared" ref="R57" si="337">P57-Q57</f>
        <v>159.59999999999854</v>
      </c>
      <c r="S57" s="124">
        <f>S55</f>
        <v>1</v>
      </c>
      <c r="T57" s="123">
        <f t="shared" ref="T57" si="338">R57*S57</f>
        <v>159.59999999999854</v>
      </c>
      <c r="U57" s="123">
        <v>1.94</v>
      </c>
      <c r="V57" s="123">
        <v>0.98</v>
      </c>
      <c r="W57" s="25"/>
    </row>
    <row r="58" spans="1:23" ht="15.75" x14ac:dyDescent="0.25">
      <c r="A58" s="126">
        <v>48</v>
      </c>
      <c r="B58" s="116" t="s">
        <v>307</v>
      </c>
      <c r="C58" s="129" t="s">
        <v>138</v>
      </c>
      <c r="D58" s="129" t="s">
        <v>124</v>
      </c>
      <c r="E58" s="135">
        <v>21087.599999999999</v>
      </c>
      <c r="F58" s="136">
        <f t="shared" ref="F58" si="339">E57</f>
        <v>20612.599999999999</v>
      </c>
      <c r="G58" s="138">
        <f t="shared" ref="G58" si="340">E58-F58</f>
        <v>475</v>
      </c>
      <c r="H58" s="91">
        <f t="shared" si="86"/>
        <v>1</v>
      </c>
      <c r="I58" s="138">
        <f t="shared" ref="I58" si="341">G58*H58</f>
        <v>475</v>
      </c>
      <c r="J58" s="135">
        <v>1250.9000000000001</v>
      </c>
      <c r="K58" s="136">
        <f t="shared" ref="K58" si="342">J57</f>
        <v>1239.0999999999999</v>
      </c>
      <c r="L58" s="138">
        <f t="shared" ref="L58" si="343">J58-K58</f>
        <v>11.800000000000182</v>
      </c>
      <c r="M58" s="136">
        <f t="shared" si="90"/>
        <v>1</v>
      </c>
      <c r="N58" s="138">
        <f t="shared" ref="N58" si="344">L58*M58</f>
        <v>11.800000000000182</v>
      </c>
      <c r="O58" s="136">
        <f t="shared" ref="O58" si="345">N58-I58</f>
        <v>-463.19999999999982</v>
      </c>
      <c r="P58" s="135">
        <v>12870.7</v>
      </c>
      <c r="Q58" s="136">
        <f t="shared" ref="Q58" si="346">P57</f>
        <v>12700.3</v>
      </c>
      <c r="R58" s="138">
        <f t="shared" ref="R58" si="347">P58-Q58</f>
        <v>170.40000000000146</v>
      </c>
      <c r="S58" s="136">
        <f t="shared" si="95"/>
        <v>1</v>
      </c>
      <c r="T58" s="138">
        <f t="shared" ref="T58" si="348">R58*S58</f>
        <v>170.40000000000146</v>
      </c>
      <c r="U58" s="138">
        <v>2.06</v>
      </c>
      <c r="V58" s="138">
        <v>0.86</v>
      </c>
      <c r="W58" s="25"/>
    </row>
    <row r="59" spans="1:23" ht="15.75" x14ac:dyDescent="0.25">
      <c r="A59" s="135">
        <v>49</v>
      </c>
      <c r="B59" s="116" t="s">
        <v>309</v>
      </c>
      <c r="C59" s="138" t="s">
        <v>138</v>
      </c>
      <c r="D59" s="138" t="s">
        <v>124</v>
      </c>
      <c r="E59" s="135">
        <v>21535.7</v>
      </c>
      <c r="F59" s="136">
        <f t="shared" ref="F59" si="349">E58</f>
        <v>21087.599999999999</v>
      </c>
      <c r="G59" s="138">
        <f t="shared" ref="G59:G61" si="350">E59-F59</f>
        <v>448.10000000000218</v>
      </c>
      <c r="H59" s="91">
        <f t="shared" si="86"/>
        <v>1</v>
      </c>
      <c r="I59" s="138">
        <f t="shared" ref="I59:I61" si="351">G59*H59</f>
        <v>448.10000000000218</v>
      </c>
      <c r="J59" s="135">
        <v>1264.8</v>
      </c>
      <c r="K59" s="136">
        <f t="shared" ref="K59" si="352">J58</f>
        <v>1250.9000000000001</v>
      </c>
      <c r="L59" s="138">
        <f t="shared" ref="L59:L61" si="353">J59-K59</f>
        <v>13.899999999999864</v>
      </c>
      <c r="M59" s="136">
        <f t="shared" si="90"/>
        <v>1</v>
      </c>
      <c r="N59" s="138">
        <f t="shared" ref="N59:N61" si="354">L59*M59</f>
        <v>13.899999999999864</v>
      </c>
      <c r="O59" s="136">
        <f t="shared" ref="O59:O61" si="355">N59-I59</f>
        <v>-434.20000000000232</v>
      </c>
      <c r="P59" s="135">
        <v>13034.2</v>
      </c>
      <c r="Q59" s="136">
        <f t="shared" ref="Q59" si="356">P58</f>
        <v>12870.7</v>
      </c>
      <c r="R59" s="138">
        <f t="shared" ref="R59:R61" si="357">P59-Q59</f>
        <v>163.5</v>
      </c>
      <c r="S59" s="136">
        <f t="shared" si="95"/>
        <v>1</v>
      </c>
      <c r="T59" s="138">
        <f t="shared" ref="T59:T61" si="358">R59*S59</f>
        <v>163.5</v>
      </c>
      <c r="U59" s="138">
        <v>1.86</v>
      </c>
      <c r="V59" s="138">
        <v>0.88</v>
      </c>
      <c r="W59" s="25"/>
    </row>
    <row r="60" spans="1:23" ht="15.75" x14ac:dyDescent="0.25">
      <c r="A60" s="146">
        <v>50</v>
      </c>
      <c r="B60" s="116" t="s">
        <v>310</v>
      </c>
      <c r="C60" s="144" t="s">
        <v>138</v>
      </c>
      <c r="D60" s="144" t="s">
        <v>124</v>
      </c>
      <c r="E60" s="146">
        <v>22002.3</v>
      </c>
      <c r="F60" s="145">
        <f t="shared" ref="F60" si="359">E58</f>
        <v>21087.599999999999</v>
      </c>
      <c r="G60" s="144">
        <f t="shared" si="350"/>
        <v>914.70000000000073</v>
      </c>
      <c r="H60" s="91">
        <f>H58</f>
        <v>1</v>
      </c>
      <c r="I60" s="144">
        <f t="shared" si="351"/>
        <v>914.70000000000073</v>
      </c>
      <c r="J60" s="146">
        <v>1270.8</v>
      </c>
      <c r="K60" s="145">
        <f t="shared" ref="K60" si="360">J58</f>
        <v>1250.9000000000001</v>
      </c>
      <c r="L60" s="144">
        <f t="shared" si="353"/>
        <v>19.899999999999864</v>
      </c>
      <c r="M60" s="145">
        <f>M58</f>
        <v>1</v>
      </c>
      <c r="N60" s="144">
        <f t="shared" si="354"/>
        <v>19.899999999999864</v>
      </c>
      <c r="O60" s="145">
        <f t="shared" si="355"/>
        <v>-894.80000000000086</v>
      </c>
      <c r="P60" s="146">
        <v>13152.2</v>
      </c>
      <c r="Q60" s="145">
        <f t="shared" ref="Q60" si="361">P58</f>
        <v>12870.7</v>
      </c>
      <c r="R60" s="144">
        <f t="shared" si="357"/>
        <v>281.5</v>
      </c>
      <c r="S60" s="145">
        <f>S58</f>
        <v>1</v>
      </c>
      <c r="T60" s="144">
        <f t="shared" si="358"/>
        <v>281.5</v>
      </c>
      <c r="U60" s="144">
        <v>2.5099999999999998</v>
      </c>
      <c r="V60" s="144">
        <v>0.49</v>
      </c>
      <c r="W60" s="25"/>
    </row>
    <row r="61" spans="1:23" ht="15.75" x14ac:dyDescent="0.25">
      <c r="A61" s="151">
        <v>51</v>
      </c>
      <c r="B61" s="116" t="s">
        <v>316</v>
      </c>
      <c r="C61" s="149" t="s">
        <v>138</v>
      </c>
      <c r="D61" s="149" t="s">
        <v>124</v>
      </c>
      <c r="E61" s="151">
        <v>22463.8</v>
      </c>
      <c r="F61" s="150">
        <v>22002.3</v>
      </c>
      <c r="G61" s="149">
        <f t="shared" si="350"/>
        <v>461.5</v>
      </c>
      <c r="H61" s="91">
        <f>H58</f>
        <v>1</v>
      </c>
      <c r="I61" s="149">
        <f t="shared" si="351"/>
        <v>461.5</v>
      </c>
      <c r="J61" s="151">
        <v>1283.2</v>
      </c>
      <c r="K61" s="150">
        <v>1270.8</v>
      </c>
      <c r="L61" s="149">
        <f t="shared" si="353"/>
        <v>12.400000000000091</v>
      </c>
      <c r="M61" s="150">
        <f>M58</f>
        <v>1</v>
      </c>
      <c r="N61" s="149">
        <f t="shared" si="354"/>
        <v>12.400000000000091</v>
      </c>
      <c r="O61" s="150">
        <f t="shared" si="355"/>
        <v>-449.09999999999991</v>
      </c>
      <c r="P61" s="151">
        <v>13310</v>
      </c>
      <c r="Q61" s="150">
        <v>13152</v>
      </c>
      <c r="R61" s="149">
        <f t="shared" si="357"/>
        <v>158</v>
      </c>
      <c r="S61" s="150">
        <f>S58</f>
        <v>1</v>
      </c>
      <c r="T61" s="149">
        <f t="shared" si="358"/>
        <v>158</v>
      </c>
      <c r="U61" s="149">
        <v>1.96</v>
      </c>
      <c r="V61" s="149">
        <v>0.81</v>
      </c>
      <c r="W61" s="25"/>
    </row>
    <row r="62" spans="1:23" ht="15.75" x14ac:dyDescent="0.25">
      <c r="A62" s="155">
        <v>52</v>
      </c>
      <c r="B62" s="116" t="s">
        <v>319</v>
      </c>
      <c r="C62" s="142" t="s">
        <v>138</v>
      </c>
      <c r="D62" s="142" t="s">
        <v>124</v>
      </c>
      <c r="E62" s="139">
        <v>22911</v>
      </c>
      <c r="F62" s="140">
        <v>22463.8</v>
      </c>
      <c r="G62" s="142">
        <f t="shared" ref="G62:G64" si="362">E62-F62</f>
        <v>447.20000000000073</v>
      </c>
      <c r="H62" s="91">
        <f>H59</f>
        <v>1</v>
      </c>
      <c r="I62" s="142">
        <f t="shared" ref="I62:I64" si="363">G62*H62</f>
        <v>447.20000000000073</v>
      </c>
      <c r="J62" s="139">
        <v>1295.5999999999999</v>
      </c>
      <c r="K62" s="140">
        <v>1283.2</v>
      </c>
      <c r="L62" s="142">
        <f t="shared" ref="L62:L64" si="364">J62-K62</f>
        <v>12.399999999999864</v>
      </c>
      <c r="M62" s="140">
        <f>M59</f>
        <v>1</v>
      </c>
      <c r="N62" s="142">
        <f t="shared" ref="N62:N64" si="365">L62*M62</f>
        <v>12.399999999999864</v>
      </c>
      <c r="O62" s="140">
        <f t="shared" ref="O62:O64" si="366">N62-I62</f>
        <v>-434.80000000000086</v>
      </c>
      <c r="P62" s="139">
        <v>13462.6</v>
      </c>
      <c r="Q62" s="140">
        <v>13310</v>
      </c>
      <c r="R62" s="142">
        <f t="shared" ref="R62:R64" si="367">P62-Q62</f>
        <v>152.60000000000036</v>
      </c>
      <c r="S62" s="140">
        <f>S59</f>
        <v>1</v>
      </c>
      <c r="T62" s="142">
        <f t="shared" ref="T62:T64" si="368">R62*S62</f>
        <v>152.60000000000036</v>
      </c>
      <c r="U62" s="142">
        <v>1.52</v>
      </c>
      <c r="V62" s="142">
        <v>0.81</v>
      </c>
      <c r="W62" s="25"/>
    </row>
    <row r="63" spans="1:23" ht="15.75" x14ac:dyDescent="0.25">
      <c r="A63" s="170">
        <v>53</v>
      </c>
      <c r="B63" s="116" t="s">
        <v>321</v>
      </c>
      <c r="C63" s="168" t="s">
        <v>138</v>
      </c>
      <c r="D63" s="168" t="s">
        <v>124</v>
      </c>
      <c r="E63" s="170">
        <v>23348.799999999999</v>
      </c>
      <c r="F63" s="170">
        <v>22911</v>
      </c>
      <c r="G63" s="168">
        <f t="shared" si="362"/>
        <v>437.79999999999927</v>
      </c>
      <c r="H63" s="91">
        <f>H59</f>
        <v>1</v>
      </c>
      <c r="I63" s="168">
        <f t="shared" si="363"/>
        <v>437.79999999999927</v>
      </c>
      <c r="J63" s="170">
        <v>1307.9000000000001</v>
      </c>
      <c r="K63" s="170">
        <v>1295.5999999999999</v>
      </c>
      <c r="L63" s="168">
        <f t="shared" si="364"/>
        <v>12.300000000000182</v>
      </c>
      <c r="M63" s="169">
        <f>M59</f>
        <v>1</v>
      </c>
      <c r="N63" s="168">
        <f t="shared" si="365"/>
        <v>12.300000000000182</v>
      </c>
      <c r="O63" s="169">
        <f t="shared" si="366"/>
        <v>-425.49999999999909</v>
      </c>
      <c r="P63" s="170">
        <v>13612.1</v>
      </c>
      <c r="Q63" s="170">
        <v>13462.6</v>
      </c>
      <c r="R63" s="168">
        <f t="shared" si="367"/>
        <v>149.5</v>
      </c>
      <c r="S63" s="169">
        <f>S59</f>
        <v>1</v>
      </c>
      <c r="T63" s="168">
        <f t="shared" si="368"/>
        <v>149.5</v>
      </c>
      <c r="U63" s="168">
        <v>1.68</v>
      </c>
      <c r="V63" s="168">
        <v>0.34</v>
      </c>
      <c r="W63" s="25"/>
    </row>
    <row r="64" spans="1:23" ht="15.75" x14ac:dyDescent="0.25">
      <c r="A64" s="175">
        <v>54</v>
      </c>
      <c r="B64" s="116" t="s">
        <v>327</v>
      </c>
      <c r="C64" s="178" t="s">
        <v>138</v>
      </c>
      <c r="D64" s="178" t="s">
        <v>124</v>
      </c>
      <c r="E64" s="175">
        <v>23825.1</v>
      </c>
      <c r="F64" s="175">
        <v>23348.799999999999</v>
      </c>
      <c r="G64" s="178">
        <f t="shared" si="362"/>
        <v>476.29999999999927</v>
      </c>
      <c r="H64" s="91">
        <f>H59</f>
        <v>1</v>
      </c>
      <c r="I64" s="178">
        <f t="shared" si="363"/>
        <v>476.29999999999927</v>
      </c>
      <c r="J64" s="175">
        <v>1309.9000000000001</v>
      </c>
      <c r="K64" s="175">
        <v>1307.9000000000001</v>
      </c>
      <c r="L64" s="178">
        <f t="shared" si="364"/>
        <v>2</v>
      </c>
      <c r="M64" s="176">
        <f>M59</f>
        <v>1</v>
      </c>
      <c r="N64" s="178">
        <f t="shared" si="365"/>
        <v>2</v>
      </c>
      <c r="O64" s="176">
        <f t="shared" si="366"/>
        <v>-474.29999999999927</v>
      </c>
      <c r="P64" s="175">
        <v>13696.4</v>
      </c>
      <c r="Q64" s="175">
        <v>13612</v>
      </c>
      <c r="R64" s="178">
        <f t="shared" si="367"/>
        <v>84.399999999999636</v>
      </c>
      <c r="S64" s="176">
        <f>S59</f>
        <v>1</v>
      </c>
      <c r="T64" s="178">
        <f t="shared" si="368"/>
        <v>84.399999999999636</v>
      </c>
      <c r="U64" s="178">
        <v>2.5099999999999998</v>
      </c>
      <c r="V64" s="178">
        <v>0.55000000000000004</v>
      </c>
      <c r="W64" s="25"/>
    </row>
    <row r="65" spans="1:23" ht="15.75" x14ac:dyDescent="0.25">
      <c r="A65" s="155">
        <v>55</v>
      </c>
      <c r="B65" s="116" t="s">
        <v>330</v>
      </c>
      <c r="C65" s="158" t="s">
        <v>138</v>
      </c>
      <c r="D65" s="158" t="s">
        <v>124</v>
      </c>
      <c r="E65" s="155">
        <v>24351.3</v>
      </c>
      <c r="F65" s="175">
        <v>23825.1</v>
      </c>
      <c r="G65" s="158">
        <f t="shared" ref="G65:G66" si="369">E65-F65</f>
        <v>526.20000000000073</v>
      </c>
      <c r="H65" s="91">
        <f>H60</f>
        <v>1</v>
      </c>
      <c r="I65" s="158">
        <f t="shared" ref="I65:I66" si="370">G65*H65</f>
        <v>526.20000000000073</v>
      </c>
      <c r="J65" s="155">
        <v>1310</v>
      </c>
      <c r="K65" s="175">
        <v>1309.9000000000001</v>
      </c>
      <c r="L65" s="158">
        <f t="shared" ref="L65:L66" si="371">J65-K65</f>
        <v>9.9999999999909051E-2</v>
      </c>
      <c r="M65" s="156">
        <f>M60</f>
        <v>1</v>
      </c>
      <c r="N65" s="158">
        <f t="shared" ref="N65:N66" si="372">L65*M65</f>
        <v>9.9999999999909051E-2</v>
      </c>
      <c r="O65" s="156">
        <f t="shared" ref="O65:O66" si="373">N65-I65</f>
        <v>-526.10000000000082</v>
      </c>
      <c r="P65" s="155">
        <v>13755.4</v>
      </c>
      <c r="Q65" s="175">
        <v>13696.4</v>
      </c>
      <c r="R65" s="158">
        <f t="shared" ref="R65:R66" si="374">P65-Q65</f>
        <v>59</v>
      </c>
      <c r="S65" s="156">
        <f>S60</f>
        <v>1</v>
      </c>
      <c r="T65" s="158">
        <f t="shared" ref="T65:T66" si="375">R65*S65</f>
        <v>59</v>
      </c>
      <c r="U65" s="158">
        <v>1.65</v>
      </c>
      <c r="V65" s="158">
        <v>0.78</v>
      </c>
      <c r="W65" s="25"/>
    </row>
    <row r="66" spans="1:23" ht="15.75" x14ac:dyDescent="0.25">
      <c r="A66" s="183">
        <v>56</v>
      </c>
      <c r="B66" s="116" t="s">
        <v>331</v>
      </c>
      <c r="C66" s="186" t="s">
        <v>138</v>
      </c>
      <c r="D66" s="186" t="s">
        <v>124</v>
      </c>
      <c r="E66" s="183">
        <v>24840.799999999999</v>
      </c>
      <c r="F66" s="183">
        <v>24351.3</v>
      </c>
      <c r="G66" s="186">
        <f t="shared" si="369"/>
        <v>489.5</v>
      </c>
      <c r="H66" s="91">
        <f>H60</f>
        <v>1</v>
      </c>
      <c r="I66" s="186">
        <f t="shared" si="370"/>
        <v>489.5</v>
      </c>
      <c r="J66" s="183">
        <v>1310.0999999999999</v>
      </c>
      <c r="K66" s="183">
        <v>1310</v>
      </c>
      <c r="L66" s="186">
        <f t="shared" si="371"/>
        <v>9.9999999999909051E-2</v>
      </c>
      <c r="M66" s="184">
        <f>M60</f>
        <v>1</v>
      </c>
      <c r="N66" s="186">
        <f t="shared" si="372"/>
        <v>9.9999999999909051E-2</v>
      </c>
      <c r="O66" s="184">
        <f t="shared" si="373"/>
        <v>-489.40000000000009</v>
      </c>
      <c r="P66" s="183">
        <v>13817.7</v>
      </c>
      <c r="Q66" s="183">
        <v>13755.4</v>
      </c>
      <c r="R66" s="186">
        <f t="shared" si="374"/>
        <v>62.300000000001091</v>
      </c>
      <c r="S66" s="184">
        <f>S60</f>
        <v>1</v>
      </c>
      <c r="T66" s="186">
        <f t="shared" si="375"/>
        <v>62.300000000001091</v>
      </c>
      <c r="U66" s="186">
        <v>1.52</v>
      </c>
      <c r="V66" s="186">
        <v>0.7</v>
      </c>
      <c r="W66" s="25"/>
    </row>
    <row r="67" spans="1:23" ht="15.75" x14ac:dyDescent="0.25">
      <c r="A67" s="182">
        <v>57</v>
      </c>
      <c r="B67" s="116" t="s">
        <v>332</v>
      </c>
      <c r="C67" s="180" t="s">
        <v>138</v>
      </c>
      <c r="D67" s="180" t="s">
        <v>124</v>
      </c>
      <c r="E67" s="182">
        <v>25889.9</v>
      </c>
      <c r="F67" s="182">
        <v>24840.799999999999</v>
      </c>
      <c r="G67" s="180">
        <f t="shared" ref="G67" si="376">E67-F67</f>
        <v>1049.1000000000022</v>
      </c>
      <c r="H67" s="91">
        <f>H61</f>
        <v>1</v>
      </c>
      <c r="I67" s="180">
        <f t="shared" ref="I67" si="377">G67*H67</f>
        <v>1049.1000000000022</v>
      </c>
      <c r="J67" s="182">
        <v>310.2</v>
      </c>
      <c r="K67" s="182">
        <v>1310</v>
      </c>
      <c r="L67" s="180">
        <f t="shared" ref="L67" si="378">J67-K67</f>
        <v>-999.8</v>
      </c>
      <c r="M67" s="181">
        <f>M61</f>
        <v>1</v>
      </c>
      <c r="N67" s="180">
        <f t="shared" ref="N67" si="379">L67*M67</f>
        <v>-999.8</v>
      </c>
      <c r="O67" s="181">
        <f t="shared" ref="O67" si="380">N67-I67</f>
        <v>-2048.9000000000024</v>
      </c>
      <c r="P67" s="182">
        <v>13817.7</v>
      </c>
      <c r="Q67" s="182">
        <v>13755.4</v>
      </c>
      <c r="R67" s="180">
        <f t="shared" ref="R67" si="381">P67-Q67</f>
        <v>62.300000000001091</v>
      </c>
      <c r="S67" s="181">
        <f>S61</f>
        <v>1</v>
      </c>
      <c r="T67" s="180">
        <f t="shared" ref="T67" si="382">R67*S67</f>
        <v>62.300000000001091</v>
      </c>
      <c r="U67" s="180">
        <v>2.46</v>
      </c>
      <c r="V67" s="180">
        <v>0.7</v>
      </c>
      <c r="W67" s="25"/>
    </row>
    <row r="68" spans="1:23" ht="15.75" x14ac:dyDescent="0.25">
      <c r="A68" s="37"/>
      <c r="B68" s="78"/>
      <c r="C68" s="24"/>
      <c r="D68" s="24"/>
      <c r="E68" s="37"/>
      <c r="F68" s="38"/>
      <c r="G68" s="24"/>
      <c r="H68" s="38"/>
      <c r="I68" s="24"/>
      <c r="J68" s="37"/>
      <c r="K68" s="38"/>
      <c r="L68" s="24"/>
      <c r="M68" s="38"/>
      <c r="N68" s="24"/>
      <c r="O68" s="38"/>
      <c r="P68" s="37"/>
      <c r="Q68" s="38"/>
      <c r="R68" s="24"/>
      <c r="S68" s="38"/>
      <c r="T68" s="24"/>
      <c r="U68" s="24"/>
      <c r="V68" s="24"/>
      <c r="W68" s="25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38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38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38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24"/>
      <c r="V71" s="24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38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24"/>
      <c r="V72" s="24"/>
      <c r="W72" s="25"/>
    </row>
    <row r="73" spans="1:23" ht="15.75" x14ac:dyDescent="0.25">
      <c r="A73" s="37"/>
      <c r="B73" s="78"/>
      <c r="C73" s="24"/>
      <c r="D73" s="24"/>
      <c r="E73" s="37"/>
      <c r="F73" s="38"/>
      <c r="G73" s="24"/>
      <c r="H73" s="38"/>
      <c r="I73" s="24"/>
      <c r="J73" s="37"/>
      <c r="K73" s="38"/>
      <c r="L73" s="24"/>
      <c r="M73" s="38"/>
      <c r="N73" s="24"/>
      <c r="O73" s="38"/>
      <c r="P73" s="37"/>
      <c r="Q73" s="38"/>
      <c r="R73" s="24"/>
      <c r="S73" s="38"/>
      <c r="T73" s="24"/>
      <c r="U73" s="24"/>
      <c r="V73" s="24"/>
      <c r="W73" s="25"/>
    </row>
    <row r="74" spans="1:23" ht="15.75" x14ac:dyDescent="0.25">
      <c r="A74" s="37"/>
      <c r="B74" s="78"/>
      <c r="C74" s="24"/>
      <c r="D74" s="24"/>
      <c r="E74" s="37"/>
      <c r="F74" s="38"/>
      <c r="G74" s="24"/>
      <c r="H74" s="38"/>
      <c r="I74" s="24"/>
      <c r="J74" s="37"/>
      <c r="K74" s="38"/>
      <c r="L74" s="24"/>
      <c r="M74" s="38"/>
      <c r="N74" s="24"/>
      <c r="O74" s="38"/>
      <c r="P74" s="37"/>
      <c r="Q74" s="38"/>
      <c r="R74" s="24"/>
      <c r="S74" s="38"/>
      <c r="T74" s="24"/>
      <c r="U74" s="24"/>
      <c r="V74" s="24"/>
      <c r="W74" s="25"/>
    </row>
    <row r="75" spans="1:23" ht="15.75" x14ac:dyDescent="0.25">
      <c r="A75" s="37"/>
      <c r="B75" s="78"/>
      <c r="C75" s="24"/>
      <c r="D75" s="24"/>
      <c r="E75" s="37"/>
      <c r="F75" s="38"/>
      <c r="G75" s="24"/>
      <c r="H75" s="38"/>
      <c r="I75" s="24"/>
      <c r="J75" s="37"/>
      <c r="K75" s="38"/>
      <c r="L75" s="24"/>
      <c r="M75" s="38"/>
      <c r="N75" s="24"/>
      <c r="O75" s="38"/>
      <c r="P75" s="37"/>
      <c r="Q75" s="38"/>
      <c r="R75" s="24"/>
      <c r="S75" s="38"/>
      <c r="T75" s="24"/>
      <c r="U75" s="24"/>
      <c r="V75" s="24"/>
      <c r="W75" s="25"/>
    </row>
    <row r="76" spans="1:23" ht="15.75" x14ac:dyDescent="0.25">
      <c r="A76" s="37"/>
      <c r="B76" s="78"/>
      <c r="C76" s="24"/>
      <c r="D76" s="24"/>
      <c r="E76" s="37"/>
      <c r="F76" s="38"/>
      <c r="G76" s="24"/>
      <c r="H76" s="38"/>
      <c r="I76" s="24"/>
      <c r="J76" s="37"/>
      <c r="K76" s="38"/>
      <c r="L76" s="24"/>
      <c r="M76" s="38"/>
      <c r="N76" s="24"/>
      <c r="O76" s="38"/>
      <c r="P76" s="37"/>
      <c r="Q76" s="38"/>
      <c r="R76" s="24"/>
      <c r="S76" s="38"/>
      <c r="T76" s="24"/>
      <c r="U76" s="24"/>
      <c r="V76" s="24"/>
      <c r="W76" s="25"/>
    </row>
    <row r="77" spans="1:23" ht="15.75" x14ac:dyDescent="0.25">
      <c r="A77" s="37"/>
      <c r="B77" s="78"/>
      <c r="C77" s="24"/>
      <c r="D77" s="24"/>
      <c r="E77" s="37"/>
      <c r="F77" s="38"/>
      <c r="G77" s="24"/>
      <c r="H77" s="38"/>
      <c r="I77" s="24"/>
      <c r="J77" s="37"/>
      <c r="K77" s="38"/>
      <c r="L77" s="24"/>
      <c r="M77" s="38"/>
      <c r="N77" s="24"/>
      <c r="O77" s="38"/>
      <c r="P77" s="37"/>
      <c r="Q77" s="38"/>
      <c r="R77" s="24"/>
      <c r="S77" s="38"/>
      <c r="T77" s="24"/>
      <c r="U77" s="24"/>
      <c r="V77" s="24"/>
      <c r="W77" s="25"/>
    </row>
    <row r="78" spans="1:23" ht="15.75" x14ac:dyDescent="0.25">
      <c r="A78" s="37"/>
      <c r="B78" s="78"/>
      <c r="C78" s="24"/>
      <c r="D78" s="24"/>
      <c r="E78" s="37"/>
      <c r="F78" s="38"/>
      <c r="G78" s="24"/>
      <c r="H78" s="38"/>
      <c r="I78" s="24"/>
      <c r="J78" s="37"/>
      <c r="K78" s="38"/>
      <c r="L78" s="24"/>
      <c r="M78" s="38"/>
      <c r="N78" s="24"/>
      <c r="O78" s="38"/>
      <c r="P78" s="37"/>
      <c r="Q78" s="38"/>
      <c r="R78" s="24"/>
      <c r="S78" s="38"/>
      <c r="T78" s="24"/>
      <c r="U78" s="24"/>
      <c r="V78" s="24"/>
      <c r="W78" s="25"/>
    </row>
    <row r="79" spans="1:23" ht="15.75" x14ac:dyDescent="0.25">
      <c r="A79" s="37"/>
      <c r="B79" s="78"/>
      <c r="C79" s="24"/>
      <c r="D79" s="24"/>
      <c r="E79" s="37"/>
      <c r="F79" s="38"/>
      <c r="G79" s="24"/>
      <c r="H79" s="38"/>
      <c r="I79" s="24"/>
      <c r="J79" s="37"/>
      <c r="K79" s="38"/>
      <c r="L79" s="24"/>
      <c r="M79" s="38"/>
      <c r="N79" s="24"/>
      <c r="O79" s="38"/>
      <c r="P79" s="37"/>
      <c r="Q79" s="38"/>
      <c r="R79" s="24"/>
      <c r="S79" s="38"/>
      <c r="T79" s="24"/>
      <c r="U79" s="24"/>
      <c r="V79" s="24"/>
      <c r="W79" s="25"/>
    </row>
    <row r="80" spans="1:23" ht="15.75" x14ac:dyDescent="0.25">
      <c r="A80" s="37"/>
      <c r="B80" s="78"/>
      <c r="C80" s="24"/>
      <c r="D80" s="24"/>
      <c r="E80" s="37"/>
      <c r="F80" s="38"/>
      <c r="G80" s="24"/>
      <c r="H80" s="38"/>
      <c r="I80" s="24"/>
      <c r="J80" s="37"/>
      <c r="K80" s="38"/>
      <c r="L80" s="24"/>
      <c r="M80" s="38"/>
      <c r="N80" s="24"/>
      <c r="O80" s="38"/>
      <c r="P80" s="37"/>
      <c r="Q80" s="38"/>
      <c r="R80" s="24"/>
      <c r="S80" s="38"/>
      <c r="T80" s="24"/>
      <c r="U80" s="24"/>
      <c r="V80" s="24"/>
      <c r="W80" s="25"/>
    </row>
    <row r="81" spans="1:23" ht="15.75" x14ac:dyDescent="0.25">
      <c r="A81" s="37"/>
      <c r="B81" s="78"/>
      <c r="C81" s="24"/>
      <c r="D81" s="24"/>
      <c r="E81" s="37"/>
      <c r="F81" s="38"/>
      <c r="G81" s="24"/>
      <c r="H81" s="38"/>
      <c r="I81" s="24"/>
      <c r="J81" s="37"/>
      <c r="K81" s="38"/>
      <c r="L81" s="24"/>
      <c r="M81" s="38"/>
      <c r="N81" s="24"/>
      <c r="O81" s="38"/>
      <c r="P81" s="37"/>
      <c r="Q81" s="38"/>
      <c r="R81" s="24"/>
      <c r="S81" s="38"/>
      <c r="T81" s="24"/>
      <c r="U81" s="24"/>
      <c r="V81" s="24"/>
      <c r="W81" s="25"/>
    </row>
    <row r="82" spans="1:23" ht="15.75" x14ac:dyDescent="0.25">
      <c r="A82" s="37"/>
      <c r="B82" s="78"/>
      <c r="C82" s="24"/>
      <c r="D82" s="24"/>
      <c r="E82" s="37"/>
      <c r="F82" s="38"/>
      <c r="G82" s="24"/>
      <c r="H82" s="38"/>
      <c r="I82" s="24"/>
      <c r="J82" s="37"/>
      <c r="K82" s="38"/>
      <c r="L82" s="24"/>
      <c r="M82" s="38"/>
      <c r="N82" s="24"/>
      <c r="O82" s="38"/>
      <c r="P82" s="37"/>
      <c r="Q82" s="38"/>
      <c r="R82" s="24"/>
      <c r="S82" s="38"/>
      <c r="T82" s="24"/>
      <c r="U82" s="24"/>
      <c r="V82" s="24"/>
      <c r="W82" s="25"/>
    </row>
    <row r="83" spans="1:23" ht="15.75" x14ac:dyDescent="0.25">
      <c r="A83" s="37"/>
      <c r="B83" s="78"/>
      <c r="C83" s="24"/>
      <c r="D83" s="24"/>
      <c r="E83" s="37"/>
      <c r="F83" s="38"/>
      <c r="G83" s="24"/>
      <c r="H83" s="38"/>
      <c r="I83" s="24"/>
      <c r="J83" s="37"/>
      <c r="K83" s="38"/>
      <c r="L83" s="24"/>
      <c r="M83" s="38"/>
      <c r="N83" s="24"/>
      <c r="O83" s="38"/>
      <c r="P83" s="37"/>
      <c r="Q83" s="38"/>
      <c r="R83" s="24"/>
      <c r="S83" s="38"/>
      <c r="T83" s="24"/>
      <c r="U83" s="24"/>
      <c r="V83" s="24"/>
      <c r="W83" s="25"/>
    </row>
    <row r="84" spans="1:23" ht="15.75" x14ac:dyDescent="0.25">
      <c r="A84" s="37"/>
      <c r="B84" s="78"/>
      <c r="C84" s="24"/>
      <c r="D84" s="24"/>
      <c r="E84" s="37"/>
      <c r="F84" s="38"/>
      <c r="G84" s="24"/>
      <c r="H84" s="38"/>
      <c r="I84" s="24"/>
      <c r="J84" s="37"/>
      <c r="K84" s="38"/>
      <c r="L84" s="24"/>
      <c r="M84" s="38"/>
      <c r="N84" s="24"/>
      <c r="O84" s="38"/>
      <c r="P84" s="37"/>
      <c r="Q84" s="38"/>
      <c r="R84" s="24"/>
      <c r="S84" s="38"/>
      <c r="T84" s="24"/>
      <c r="U84" s="24"/>
      <c r="V84" s="24"/>
      <c r="W84" s="25"/>
    </row>
    <row r="85" spans="1:23" ht="15.75" x14ac:dyDescent="0.25">
      <c r="A85" s="37"/>
      <c r="B85" s="78"/>
      <c r="C85" s="24"/>
      <c r="D85" s="24"/>
      <c r="E85" s="37"/>
      <c r="F85" s="38"/>
      <c r="G85" s="24"/>
      <c r="H85" s="38"/>
      <c r="I85" s="24"/>
      <c r="J85" s="37"/>
      <c r="K85" s="38"/>
      <c r="L85" s="24"/>
      <c r="M85" s="38"/>
      <c r="N85" s="24"/>
      <c r="O85" s="38"/>
      <c r="P85" s="37"/>
      <c r="Q85" s="38"/>
      <c r="R85" s="24"/>
      <c r="S85" s="38"/>
      <c r="T85" s="24"/>
      <c r="U85" s="24"/>
      <c r="V85" s="24"/>
      <c r="W85" s="25"/>
    </row>
    <row r="86" spans="1:23" ht="15.75" x14ac:dyDescent="0.25">
      <c r="A86" s="37"/>
      <c r="B86" s="78"/>
      <c r="C86" s="24"/>
      <c r="D86" s="24"/>
      <c r="E86" s="37"/>
      <c r="F86" s="38"/>
      <c r="G86" s="24"/>
      <c r="H86" s="38"/>
      <c r="I86" s="24"/>
      <c r="J86" s="37"/>
      <c r="K86" s="38"/>
      <c r="L86" s="24"/>
      <c r="M86" s="38"/>
      <c r="N86" s="24"/>
      <c r="O86" s="38"/>
      <c r="P86" s="37"/>
      <c r="Q86" s="38"/>
      <c r="R86" s="24"/>
      <c r="S86" s="38"/>
      <c r="T86" s="24"/>
      <c r="U86" s="24"/>
      <c r="V86" s="24"/>
      <c r="W86" s="25"/>
    </row>
    <row r="87" spans="1:23" ht="15.75" x14ac:dyDescent="0.25">
      <c r="A87" s="37"/>
      <c r="B87" s="78"/>
      <c r="C87" s="24"/>
      <c r="D87" s="24"/>
      <c r="E87" s="37"/>
      <c r="F87" s="38"/>
      <c r="G87" s="24"/>
      <c r="H87" s="38"/>
      <c r="I87" s="24"/>
      <c r="J87" s="37"/>
      <c r="K87" s="38"/>
      <c r="L87" s="24"/>
      <c r="M87" s="38"/>
      <c r="N87" s="24"/>
      <c r="O87" s="38"/>
      <c r="P87" s="37"/>
      <c r="Q87" s="38"/>
      <c r="R87" s="24"/>
      <c r="S87" s="38"/>
      <c r="T87" s="24"/>
      <c r="U87" s="24"/>
      <c r="V87" s="24"/>
      <c r="W87" s="25"/>
    </row>
    <row r="88" spans="1:23" ht="15.75" x14ac:dyDescent="0.25">
      <c r="A88" s="37"/>
      <c r="B88" s="78"/>
      <c r="C88" s="24"/>
      <c r="D88" s="24"/>
      <c r="E88" s="37"/>
      <c r="F88" s="38"/>
      <c r="G88" s="24"/>
      <c r="H88" s="38"/>
      <c r="I88" s="24"/>
      <c r="J88" s="37"/>
      <c r="K88" s="38"/>
      <c r="L88" s="24"/>
      <c r="M88" s="38"/>
      <c r="N88" s="24"/>
      <c r="O88" s="38"/>
      <c r="P88" s="37"/>
      <c r="Q88" s="38"/>
      <c r="R88" s="24"/>
      <c r="S88" s="38"/>
      <c r="T88" s="24"/>
      <c r="U88" s="24"/>
      <c r="V88" s="24"/>
      <c r="W88" s="25"/>
    </row>
    <row r="89" spans="1:23" ht="15.75" x14ac:dyDescent="0.25">
      <c r="A89" s="37"/>
      <c r="B89" s="78"/>
      <c r="C89" s="24"/>
      <c r="D89" s="24"/>
      <c r="E89" s="37"/>
      <c r="F89" s="38"/>
      <c r="G89" s="24"/>
      <c r="H89" s="38"/>
      <c r="I89" s="24"/>
      <c r="J89" s="37"/>
      <c r="K89" s="38"/>
      <c r="L89" s="24"/>
      <c r="M89" s="38"/>
      <c r="N89" s="24"/>
      <c r="O89" s="38"/>
      <c r="P89" s="37"/>
      <c r="Q89" s="38"/>
      <c r="R89" s="24"/>
      <c r="S89" s="38"/>
      <c r="T89" s="24"/>
      <c r="U89" s="24"/>
      <c r="V89" s="24"/>
      <c r="W89" s="25"/>
    </row>
    <row r="90" spans="1:23" ht="15.75" x14ac:dyDescent="0.25">
      <c r="A90" s="31">
        <v>1</v>
      </c>
      <c r="B90" s="31" t="s">
        <v>23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37"/>
      <c r="Q90" s="38"/>
      <c r="R90" s="24"/>
      <c r="S90" s="38"/>
      <c r="T90" s="24"/>
      <c r="U90" s="25"/>
      <c r="V90" s="25"/>
      <c r="W90" s="25"/>
    </row>
    <row r="91" spans="1:23" ht="15.75" x14ac:dyDescent="0.25">
      <c r="A91" s="31">
        <v>2</v>
      </c>
      <c r="B91" s="31" t="s">
        <v>24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37"/>
      <c r="Q91" s="38"/>
      <c r="R91" s="24"/>
      <c r="S91" s="38"/>
      <c r="T91" s="24"/>
      <c r="U91" s="25"/>
      <c r="V91" s="25"/>
      <c r="W91" s="25"/>
    </row>
    <row r="92" spans="1:23" ht="15.75" x14ac:dyDescent="0.25">
      <c r="A92" s="31">
        <v>3</v>
      </c>
      <c r="B92" s="31" t="s">
        <v>25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37"/>
      <c r="Q92" s="38"/>
      <c r="R92" s="24"/>
      <c r="S92" s="38"/>
      <c r="T92" s="24"/>
      <c r="U92" s="25"/>
      <c r="V92" s="25"/>
      <c r="W92" s="25"/>
    </row>
    <row r="95" spans="1:23" x14ac:dyDescent="0.25">
      <c r="R95" t="s">
        <v>65</v>
      </c>
    </row>
  </sheetData>
  <mergeCells count="22">
    <mergeCell ref="J5:N5"/>
    <mergeCell ref="O5:O6"/>
    <mergeCell ref="P5:T5"/>
    <mergeCell ref="U5:U6"/>
    <mergeCell ref="V5:V6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3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81"/>
  <sheetViews>
    <sheetView view="pageBreakPreview" topLeftCell="A52" zoomScale="85" zoomScaleNormal="85" zoomScaleSheetLayoutView="85" workbookViewId="0">
      <selection activeCell="U72" sqref="U72"/>
    </sheetView>
  </sheetViews>
  <sheetFormatPr defaultRowHeight="15" x14ac:dyDescent="0.25"/>
  <cols>
    <col min="1" max="1" width="7.5703125" customWidth="1"/>
    <col min="2" max="2" width="13" customWidth="1"/>
    <col min="3" max="3" width="15.4257812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139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140</v>
      </c>
      <c r="C3" s="207"/>
      <c r="D3" s="12" t="s">
        <v>6</v>
      </c>
      <c r="E3" s="201" t="s">
        <v>141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132</v>
      </c>
      <c r="W3" s="25"/>
    </row>
    <row r="4" spans="1:23" ht="15.75" x14ac:dyDescent="0.25">
      <c r="A4" s="12" t="s">
        <v>0</v>
      </c>
      <c r="B4" s="216" t="s">
        <v>141</v>
      </c>
      <c r="C4" s="216"/>
      <c r="D4" s="12" t="s">
        <v>9</v>
      </c>
      <c r="E4" s="207">
        <v>9480805037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 t="s">
        <v>142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124</v>
      </c>
      <c r="D7" s="19" t="s">
        <v>124</v>
      </c>
      <c r="E7" s="17">
        <v>93.5</v>
      </c>
      <c r="F7" s="17">
        <v>0.2</v>
      </c>
      <c r="G7" s="19">
        <f t="shared" ref="G7" si="0">E7-F7</f>
        <v>93.3</v>
      </c>
      <c r="H7" s="17">
        <v>1</v>
      </c>
      <c r="I7" s="19">
        <f t="shared" ref="I7" si="1">G7*H7</f>
        <v>93.3</v>
      </c>
      <c r="J7" s="17">
        <v>111.3</v>
      </c>
      <c r="K7" s="17">
        <v>0.1</v>
      </c>
      <c r="L7" s="19">
        <f t="shared" ref="L7" si="2">J7-K7</f>
        <v>111.2</v>
      </c>
      <c r="M7" s="17">
        <v>1</v>
      </c>
      <c r="N7" s="19">
        <f t="shared" ref="N7" si="3">L7*M7</f>
        <v>111.2</v>
      </c>
      <c r="O7" s="17">
        <f t="shared" ref="O7:O12" si="4">N7-I7</f>
        <v>17.900000000000006</v>
      </c>
      <c r="P7" s="17">
        <v>295</v>
      </c>
      <c r="Q7" s="17">
        <v>92.7</v>
      </c>
      <c r="R7" s="19">
        <f t="shared" ref="R7" si="5">P7-Q7</f>
        <v>202.3</v>
      </c>
      <c r="S7" s="17">
        <v>1</v>
      </c>
      <c r="T7" s="19">
        <f t="shared" ref="T7" si="6">R7*S7</f>
        <v>202.3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124</v>
      </c>
      <c r="D8" s="19" t="s">
        <v>124</v>
      </c>
      <c r="E8" s="17">
        <v>193.6</v>
      </c>
      <c r="F8" s="17">
        <f t="shared" ref="F8:F13" si="7">E7</f>
        <v>93.5</v>
      </c>
      <c r="G8" s="19">
        <f t="shared" ref="G8" si="8">E8-F8</f>
        <v>100.1</v>
      </c>
      <c r="H8" s="17">
        <f t="shared" ref="H8:H16" si="9">H7</f>
        <v>1</v>
      </c>
      <c r="I8" s="19">
        <f t="shared" ref="I8" si="10">G8*H8</f>
        <v>100.1</v>
      </c>
      <c r="J8" s="17">
        <v>237.3</v>
      </c>
      <c r="K8" s="17">
        <f t="shared" ref="K8:K13" si="11">J7</f>
        <v>111.3</v>
      </c>
      <c r="L8" s="19">
        <f t="shared" ref="L8" si="12">J8-K8</f>
        <v>126.00000000000001</v>
      </c>
      <c r="M8" s="17">
        <f t="shared" ref="M8:M16" si="13">M7</f>
        <v>1</v>
      </c>
      <c r="N8" s="19">
        <f t="shared" ref="N8" si="14">L8*M8</f>
        <v>126.00000000000001</v>
      </c>
      <c r="O8" s="17">
        <f t="shared" si="4"/>
        <v>25.90000000000002</v>
      </c>
      <c r="P8" s="17">
        <v>503</v>
      </c>
      <c r="Q8" s="17">
        <f t="shared" ref="Q8:Q13" si="15">P7</f>
        <v>295</v>
      </c>
      <c r="R8" s="19">
        <f t="shared" ref="R8" si="16">P8-Q8</f>
        <v>208</v>
      </c>
      <c r="S8" s="17">
        <f t="shared" ref="S8:S16" si="17">S7</f>
        <v>1</v>
      </c>
      <c r="T8" s="19">
        <f t="shared" ref="T8" si="18">R8*S8</f>
        <v>208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124</v>
      </c>
      <c r="D9" s="19" t="s">
        <v>124</v>
      </c>
      <c r="E9" s="17">
        <v>313</v>
      </c>
      <c r="F9" s="17">
        <f t="shared" si="7"/>
        <v>193.6</v>
      </c>
      <c r="G9" s="19">
        <f t="shared" ref="G9" si="19">E9-F9</f>
        <v>119.4</v>
      </c>
      <c r="H9" s="17">
        <f t="shared" si="9"/>
        <v>1</v>
      </c>
      <c r="I9" s="19">
        <f t="shared" ref="I9" si="20">G9*H9</f>
        <v>119.4</v>
      </c>
      <c r="J9" s="17">
        <v>330</v>
      </c>
      <c r="K9" s="17">
        <f t="shared" si="11"/>
        <v>237.3</v>
      </c>
      <c r="L9" s="19">
        <f t="shared" ref="L9" si="21">J9-K9</f>
        <v>92.699999999999989</v>
      </c>
      <c r="M9" s="17">
        <f t="shared" si="13"/>
        <v>1</v>
      </c>
      <c r="N9" s="19">
        <f t="shared" ref="N9" si="22">L9*M9</f>
        <v>92.699999999999989</v>
      </c>
      <c r="O9" s="17">
        <f t="shared" si="4"/>
        <v>-26.700000000000017</v>
      </c>
      <c r="P9" s="17">
        <v>660</v>
      </c>
      <c r="Q9" s="17">
        <f t="shared" si="15"/>
        <v>503</v>
      </c>
      <c r="R9" s="19">
        <f t="shared" ref="R9" si="23">P9-Q9</f>
        <v>157</v>
      </c>
      <c r="S9" s="17">
        <f t="shared" si="17"/>
        <v>1</v>
      </c>
      <c r="T9" s="19">
        <f t="shared" ref="T9" si="24">R9*S9</f>
        <v>157</v>
      </c>
      <c r="U9" s="17">
        <v>2.06</v>
      </c>
      <c r="V9" s="17">
        <v>0.7</v>
      </c>
      <c r="W9" s="25"/>
    </row>
    <row r="10" spans="1:23" ht="15.75" x14ac:dyDescent="0.25">
      <c r="A10" s="12">
        <v>4</v>
      </c>
      <c r="B10" s="22" t="s">
        <v>244</v>
      </c>
      <c r="C10" s="19" t="s">
        <v>124</v>
      </c>
      <c r="D10" s="19" t="s">
        <v>124</v>
      </c>
      <c r="E10" s="17">
        <v>415.4</v>
      </c>
      <c r="F10" s="17">
        <f t="shared" si="7"/>
        <v>313</v>
      </c>
      <c r="G10" s="19">
        <f t="shared" ref="G10" si="25">E10-F10</f>
        <v>102.39999999999998</v>
      </c>
      <c r="H10" s="17">
        <f t="shared" si="9"/>
        <v>1</v>
      </c>
      <c r="I10" s="19">
        <f t="shared" ref="I10" si="26">G10*H10</f>
        <v>102.39999999999998</v>
      </c>
      <c r="J10" s="17">
        <v>467.9</v>
      </c>
      <c r="K10" s="17">
        <f t="shared" si="11"/>
        <v>330</v>
      </c>
      <c r="L10" s="19">
        <f t="shared" ref="L10" si="27">J10-K10</f>
        <v>137.89999999999998</v>
      </c>
      <c r="M10" s="17">
        <f t="shared" si="13"/>
        <v>1</v>
      </c>
      <c r="N10" s="19">
        <f t="shared" ref="N10" si="28">L10*M10</f>
        <v>137.89999999999998</v>
      </c>
      <c r="O10" s="17">
        <f t="shared" si="4"/>
        <v>35.5</v>
      </c>
      <c r="P10" s="17">
        <v>832.8</v>
      </c>
      <c r="Q10" s="17">
        <f t="shared" si="15"/>
        <v>660</v>
      </c>
      <c r="R10" s="19">
        <f t="shared" ref="R10" si="29">P10-Q10</f>
        <v>172.79999999999995</v>
      </c>
      <c r="S10" s="17">
        <f t="shared" si="17"/>
        <v>1</v>
      </c>
      <c r="T10" s="19">
        <f t="shared" ref="T10" si="30">R10*S10</f>
        <v>172.79999999999995</v>
      </c>
      <c r="U10" s="17">
        <v>1.53</v>
      </c>
      <c r="V10" s="17">
        <v>0.87</v>
      </c>
      <c r="W10" s="25"/>
    </row>
    <row r="11" spans="1:23" ht="15.75" x14ac:dyDescent="0.25">
      <c r="A11" s="12">
        <v>5</v>
      </c>
      <c r="B11" s="22" t="s">
        <v>245</v>
      </c>
      <c r="C11" s="19" t="s">
        <v>124</v>
      </c>
      <c r="D11" s="19" t="s">
        <v>124</v>
      </c>
      <c r="E11" s="17">
        <v>507</v>
      </c>
      <c r="F11" s="17">
        <f t="shared" si="7"/>
        <v>415.4</v>
      </c>
      <c r="G11" s="19">
        <f t="shared" ref="G11" si="31">E11-F11</f>
        <v>91.600000000000023</v>
      </c>
      <c r="H11" s="17">
        <f t="shared" si="9"/>
        <v>1</v>
      </c>
      <c r="I11" s="19">
        <f t="shared" ref="I11" si="32">G11*H11</f>
        <v>91.600000000000023</v>
      </c>
      <c r="J11" s="17">
        <v>591.4</v>
      </c>
      <c r="K11" s="17">
        <f t="shared" si="11"/>
        <v>467.9</v>
      </c>
      <c r="L11" s="19">
        <f t="shared" ref="L11" si="33">J11-K11</f>
        <v>123.5</v>
      </c>
      <c r="M11" s="17">
        <f t="shared" si="13"/>
        <v>1</v>
      </c>
      <c r="N11" s="19">
        <f t="shared" ref="N11" si="34">L11*M11</f>
        <v>123.5</v>
      </c>
      <c r="O11" s="17">
        <f t="shared" si="4"/>
        <v>31.899999999999977</v>
      </c>
      <c r="P11" s="17">
        <v>1054</v>
      </c>
      <c r="Q11" s="17">
        <f t="shared" si="15"/>
        <v>832.8</v>
      </c>
      <c r="R11" s="19">
        <f t="shared" ref="R11" si="35">P11-Q11</f>
        <v>221.20000000000005</v>
      </c>
      <c r="S11" s="17">
        <f t="shared" si="17"/>
        <v>1</v>
      </c>
      <c r="T11" s="19">
        <f t="shared" ref="T11" si="36">R11*S11</f>
        <v>221.20000000000005</v>
      </c>
      <c r="U11" s="17">
        <v>1.48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124</v>
      </c>
      <c r="D12" s="19" t="s">
        <v>124</v>
      </c>
      <c r="E12" s="12">
        <v>600.6</v>
      </c>
      <c r="F12" s="17">
        <f t="shared" si="7"/>
        <v>507</v>
      </c>
      <c r="G12" s="19">
        <f t="shared" ref="G12" si="37">E12-F12</f>
        <v>93.600000000000023</v>
      </c>
      <c r="H12" s="17">
        <f t="shared" si="9"/>
        <v>1</v>
      </c>
      <c r="I12" s="19">
        <f t="shared" ref="I12" si="38">G12*H12</f>
        <v>93.600000000000023</v>
      </c>
      <c r="J12" s="12">
        <v>697.4</v>
      </c>
      <c r="K12" s="17">
        <f t="shared" si="11"/>
        <v>591.4</v>
      </c>
      <c r="L12" s="19">
        <f t="shared" ref="L12" si="39">J12-K12</f>
        <v>106</v>
      </c>
      <c r="M12" s="17">
        <f t="shared" si="13"/>
        <v>1</v>
      </c>
      <c r="N12" s="19">
        <f t="shared" ref="N12" si="40">L12*M12</f>
        <v>106</v>
      </c>
      <c r="O12" s="17">
        <f t="shared" si="4"/>
        <v>12.399999999999977</v>
      </c>
      <c r="P12" s="17">
        <v>1229</v>
      </c>
      <c r="Q12" s="17">
        <f t="shared" si="15"/>
        <v>1054</v>
      </c>
      <c r="R12" s="19">
        <f t="shared" ref="R12" si="41">P12-Q12</f>
        <v>175</v>
      </c>
      <c r="S12" s="17">
        <f t="shared" si="17"/>
        <v>1</v>
      </c>
      <c r="T12" s="19">
        <f t="shared" ref="T12" si="42">R12*S12</f>
        <v>175</v>
      </c>
      <c r="U12" s="19">
        <v>1.87</v>
      </c>
      <c r="V12" s="19"/>
      <c r="W12" s="25"/>
    </row>
    <row r="13" spans="1:23" ht="15.75" x14ac:dyDescent="0.25">
      <c r="A13" s="12">
        <v>7</v>
      </c>
      <c r="B13" s="22" t="s">
        <v>252</v>
      </c>
      <c r="C13" s="19" t="s">
        <v>124</v>
      </c>
      <c r="D13" s="19" t="s">
        <v>124</v>
      </c>
      <c r="E13" s="12">
        <v>690.8</v>
      </c>
      <c r="F13" s="17">
        <f t="shared" si="7"/>
        <v>600.6</v>
      </c>
      <c r="G13" s="19">
        <f t="shared" ref="G13" si="43">E13-F13</f>
        <v>90.199999999999932</v>
      </c>
      <c r="H13" s="17">
        <f t="shared" si="9"/>
        <v>1</v>
      </c>
      <c r="I13" s="19">
        <f t="shared" ref="I13" si="44">G13*H13</f>
        <v>90.199999999999932</v>
      </c>
      <c r="J13" s="12">
        <v>780.6</v>
      </c>
      <c r="K13" s="17">
        <f t="shared" si="11"/>
        <v>697.4</v>
      </c>
      <c r="L13" s="19">
        <f t="shared" ref="L13" si="45">J13-K13</f>
        <v>83.200000000000045</v>
      </c>
      <c r="M13" s="17">
        <f t="shared" si="13"/>
        <v>1</v>
      </c>
      <c r="N13" s="19">
        <f t="shared" ref="N13" si="46">L13*M13</f>
        <v>83.200000000000045</v>
      </c>
      <c r="O13" s="17">
        <f t="shared" ref="O13" si="47">N13-I13</f>
        <v>-6.9999999999998863</v>
      </c>
      <c r="P13" s="12">
        <f>P12+149</f>
        <v>1378</v>
      </c>
      <c r="Q13" s="17">
        <f t="shared" si="15"/>
        <v>1229</v>
      </c>
      <c r="R13" s="19">
        <f t="shared" ref="R13" si="48">P13-Q13</f>
        <v>149</v>
      </c>
      <c r="S13" s="17">
        <f t="shared" si="17"/>
        <v>1</v>
      </c>
      <c r="T13" s="19">
        <f t="shared" ref="T13" si="49">R13*S13</f>
        <v>149</v>
      </c>
      <c r="U13" s="19">
        <v>1.36</v>
      </c>
      <c r="V13" s="19">
        <v>0.69</v>
      </c>
      <c r="W13" s="25"/>
    </row>
    <row r="14" spans="1:23" ht="15.75" x14ac:dyDescent="0.25">
      <c r="A14" s="12">
        <v>8</v>
      </c>
      <c r="B14" s="22" t="s">
        <v>253</v>
      </c>
      <c r="C14" s="19" t="s">
        <v>124</v>
      </c>
      <c r="D14" s="19" t="s">
        <v>124</v>
      </c>
      <c r="E14" s="12">
        <v>781</v>
      </c>
      <c r="F14" s="17">
        <f t="shared" ref="F14" si="50">E13</f>
        <v>690.8</v>
      </c>
      <c r="G14" s="19">
        <f t="shared" ref="G14" si="51">E14-F14</f>
        <v>90.200000000000045</v>
      </c>
      <c r="H14" s="17">
        <f t="shared" si="9"/>
        <v>1</v>
      </c>
      <c r="I14" s="19">
        <f t="shared" ref="I14" si="52">G14*H14</f>
        <v>90.200000000000045</v>
      </c>
      <c r="J14" s="12">
        <v>865</v>
      </c>
      <c r="K14" s="17">
        <f t="shared" ref="K14" si="53">J13</f>
        <v>780.6</v>
      </c>
      <c r="L14" s="19">
        <f t="shared" ref="L14" si="54">J14-K14</f>
        <v>84.399999999999977</v>
      </c>
      <c r="M14" s="17">
        <f t="shared" si="13"/>
        <v>1</v>
      </c>
      <c r="N14" s="19">
        <f t="shared" ref="N14" si="55">L14*M14</f>
        <v>84.399999999999977</v>
      </c>
      <c r="O14" s="17">
        <f t="shared" ref="O14" si="56">N14-I14</f>
        <v>-5.8000000000000682</v>
      </c>
      <c r="P14" s="12">
        <v>1499</v>
      </c>
      <c r="Q14" s="17">
        <f t="shared" ref="Q14" si="57">P13</f>
        <v>1378</v>
      </c>
      <c r="R14" s="19">
        <f t="shared" ref="R14" si="58">P14-Q14</f>
        <v>121</v>
      </c>
      <c r="S14" s="17">
        <f t="shared" si="17"/>
        <v>1</v>
      </c>
      <c r="T14" s="19">
        <f t="shared" ref="T14" si="59">R14*S14</f>
        <v>121</v>
      </c>
      <c r="U14" s="19">
        <v>1.42</v>
      </c>
      <c r="V14" s="19">
        <v>0.8</v>
      </c>
      <c r="W14" s="25"/>
    </row>
    <row r="15" spans="1:23" ht="15.75" x14ac:dyDescent="0.25">
      <c r="A15" s="12">
        <v>9</v>
      </c>
      <c r="B15" s="22" t="s">
        <v>254</v>
      </c>
      <c r="C15" s="19" t="s">
        <v>124</v>
      </c>
      <c r="D15" s="19" t="s">
        <v>124</v>
      </c>
      <c r="E15" s="12">
        <v>870.5</v>
      </c>
      <c r="F15" s="17">
        <f t="shared" ref="F15" si="60">E14</f>
        <v>781</v>
      </c>
      <c r="G15" s="19">
        <f t="shared" ref="G15" si="61">E15-F15</f>
        <v>89.5</v>
      </c>
      <c r="H15" s="17">
        <f t="shared" si="9"/>
        <v>1</v>
      </c>
      <c r="I15" s="19">
        <f t="shared" ref="I15" si="62">G15*H15</f>
        <v>89.5</v>
      </c>
      <c r="J15" s="12">
        <v>949.4</v>
      </c>
      <c r="K15" s="17">
        <f t="shared" ref="K15" si="63">J14</f>
        <v>865</v>
      </c>
      <c r="L15" s="19">
        <f t="shared" ref="L15" si="64">J15-K15</f>
        <v>84.399999999999977</v>
      </c>
      <c r="M15" s="17">
        <f t="shared" si="13"/>
        <v>1</v>
      </c>
      <c r="N15" s="19">
        <f t="shared" ref="N15" si="65">L15*M15</f>
        <v>84.399999999999977</v>
      </c>
      <c r="O15" s="17">
        <f t="shared" ref="O15" si="66">N15-I15</f>
        <v>-5.1000000000000227</v>
      </c>
      <c r="P15" s="12">
        <v>1619</v>
      </c>
      <c r="Q15" s="17">
        <f t="shared" ref="Q15" si="67">P14</f>
        <v>1499</v>
      </c>
      <c r="R15" s="19">
        <f t="shared" ref="R15" si="68">P15-Q15</f>
        <v>120</v>
      </c>
      <c r="S15" s="17">
        <f t="shared" si="17"/>
        <v>1</v>
      </c>
      <c r="T15" s="19">
        <f t="shared" ref="T15" si="69">R15*S15</f>
        <v>120</v>
      </c>
      <c r="U15" s="19">
        <v>1.7</v>
      </c>
      <c r="V15" s="19">
        <v>0.9</v>
      </c>
      <c r="W15" s="25"/>
    </row>
    <row r="16" spans="1:23" ht="15.75" x14ac:dyDescent="0.25">
      <c r="A16" s="12">
        <v>10</v>
      </c>
      <c r="B16" s="22" t="s">
        <v>258</v>
      </c>
      <c r="C16" s="19" t="s">
        <v>124</v>
      </c>
      <c r="D16" s="19" t="s">
        <v>124</v>
      </c>
      <c r="E16" s="12">
        <v>958.5</v>
      </c>
      <c r="F16" s="17">
        <f t="shared" ref="F16" si="70">E15</f>
        <v>870.5</v>
      </c>
      <c r="G16" s="19">
        <f t="shared" ref="G16" si="71">E16-F16</f>
        <v>88</v>
      </c>
      <c r="H16" s="17">
        <f t="shared" si="9"/>
        <v>1</v>
      </c>
      <c r="I16" s="19">
        <f t="shared" ref="I16" si="72">G16*H16</f>
        <v>88</v>
      </c>
      <c r="J16" s="12">
        <v>1136.4000000000001</v>
      </c>
      <c r="K16" s="17">
        <f t="shared" ref="K16" si="73">J15</f>
        <v>949.4</v>
      </c>
      <c r="L16" s="19">
        <f t="shared" ref="L16" si="74">J16-K16</f>
        <v>187.00000000000011</v>
      </c>
      <c r="M16" s="17">
        <f t="shared" si="13"/>
        <v>1</v>
      </c>
      <c r="N16" s="19">
        <f t="shared" ref="N16" si="75">L16*M16</f>
        <v>187.00000000000011</v>
      </c>
      <c r="O16" s="17">
        <f t="shared" ref="O16" si="76">N16-I16</f>
        <v>99.000000000000114</v>
      </c>
      <c r="P16" s="12">
        <v>1895</v>
      </c>
      <c r="Q16" s="17">
        <f t="shared" ref="Q16" si="77">P15</f>
        <v>1619</v>
      </c>
      <c r="R16" s="19">
        <f t="shared" ref="R16" si="78">P16-Q16</f>
        <v>276</v>
      </c>
      <c r="S16" s="17">
        <f t="shared" si="17"/>
        <v>1</v>
      </c>
      <c r="T16" s="19">
        <f t="shared" ref="T16" si="79">R16*S16</f>
        <v>276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22" t="s">
        <v>121</v>
      </c>
      <c r="I17" s="12">
        <f>SUM(I7:I16)</f>
        <v>958.3</v>
      </c>
      <c r="J17" s="12"/>
      <c r="K17" s="17"/>
      <c r="L17" s="12"/>
      <c r="M17" s="17"/>
      <c r="N17" s="12">
        <f t="shared" ref="N17:O17" si="80">SUM(N7:N16)</f>
        <v>1136.3000000000002</v>
      </c>
      <c r="O17" s="12">
        <f t="shared" si="80"/>
        <v>178.00000000000011</v>
      </c>
      <c r="P17" s="12"/>
      <c r="Q17" s="17"/>
      <c r="R17" s="12"/>
      <c r="S17" s="17"/>
      <c r="T17" s="12">
        <f>SUM(T7:T16)</f>
        <v>1802.3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124</v>
      </c>
      <c r="D18" s="19" t="s">
        <v>124</v>
      </c>
      <c r="E18" s="12">
        <v>1061.2</v>
      </c>
      <c r="F18" s="17">
        <f>E16</f>
        <v>958.5</v>
      </c>
      <c r="G18" s="19">
        <f t="shared" ref="G18" si="81">E18-F18</f>
        <v>102.70000000000005</v>
      </c>
      <c r="H18" s="91">
        <v>1</v>
      </c>
      <c r="I18" s="19">
        <f t="shared" ref="I18" si="82">G18*H18</f>
        <v>102.70000000000005</v>
      </c>
      <c r="J18" s="12">
        <v>1392.2</v>
      </c>
      <c r="K18" s="17">
        <f>J16</f>
        <v>1136.4000000000001</v>
      </c>
      <c r="L18" s="19">
        <f t="shared" ref="L18" si="83">J18-K18</f>
        <v>255.79999999999995</v>
      </c>
      <c r="M18" s="17">
        <f>M16</f>
        <v>1</v>
      </c>
      <c r="N18" s="19">
        <f t="shared" ref="N18" si="84">L18*M18</f>
        <v>255.79999999999995</v>
      </c>
      <c r="O18" s="17">
        <f t="shared" ref="O18" si="85">N18-I18</f>
        <v>153.09999999999991</v>
      </c>
      <c r="P18" s="12">
        <v>2252</v>
      </c>
      <c r="Q18" s="17">
        <f>P16</f>
        <v>1895</v>
      </c>
      <c r="R18" s="19">
        <f t="shared" ref="R18" si="86">P18-Q18</f>
        <v>357</v>
      </c>
      <c r="S18" s="17">
        <f>S16</f>
        <v>1</v>
      </c>
      <c r="T18" s="19">
        <f t="shared" ref="T18" si="87">R18*S18</f>
        <v>357</v>
      </c>
      <c r="U18" s="12">
        <v>1.82</v>
      </c>
      <c r="V18" s="12">
        <v>0.8</v>
      </c>
      <c r="W18" s="25"/>
    </row>
    <row r="19" spans="1:23" ht="15.75" x14ac:dyDescent="0.25">
      <c r="A19" s="12">
        <v>12</v>
      </c>
      <c r="B19" s="22" t="s">
        <v>263</v>
      </c>
      <c r="C19" s="19" t="s">
        <v>124</v>
      </c>
      <c r="D19" s="19" t="s">
        <v>124</v>
      </c>
      <c r="E19" s="12">
        <v>1154.0999999999999</v>
      </c>
      <c r="F19" s="17">
        <f t="shared" ref="F19:F24" si="88">E18</f>
        <v>1061.2</v>
      </c>
      <c r="G19" s="19">
        <f t="shared" ref="G19" si="89">E19-F19</f>
        <v>92.899999999999864</v>
      </c>
      <c r="H19" s="91">
        <f t="shared" ref="H19:H59" si="90">H18</f>
        <v>1</v>
      </c>
      <c r="I19" s="19">
        <f t="shared" ref="I19" si="91">G19*H19</f>
        <v>92.899999999999864</v>
      </c>
      <c r="J19" s="12">
        <v>1587.9</v>
      </c>
      <c r="K19" s="17">
        <f t="shared" ref="K19:K24" si="92">J18</f>
        <v>1392.2</v>
      </c>
      <c r="L19" s="19">
        <f t="shared" ref="L19" si="93">J19-K19</f>
        <v>195.70000000000005</v>
      </c>
      <c r="M19" s="17">
        <f t="shared" ref="M19:M59" si="94">M18</f>
        <v>1</v>
      </c>
      <c r="N19" s="19">
        <f t="shared" ref="N19" si="95">L19*M19</f>
        <v>195.70000000000005</v>
      </c>
      <c r="O19" s="17">
        <f t="shared" ref="O19" si="96">N19-I19</f>
        <v>102.80000000000018</v>
      </c>
      <c r="P19" s="12">
        <v>2543</v>
      </c>
      <c r="Q19" s="17">
        <f t="shared" ref="Q19:Q24" si="97">P18</f>
        <v>2252</v>
      </c>
      <c r="R19" s="19">
        <f t="shared" ref="R19" si="98">P19-Q19</f>
        <v>291</v>
      </c>
      <c r="S19" s="17">
        <f t="shared" ref="S19:S59" si="99">S18</f>
        <v>1</v>
      </c>
      <c r="T19" s="19">
        <f t="shared" ref="T19" si="100">R19*S19</f>
        <v>291</v>
      </c>
      <c r="U19" s="19">
        <v>1.18</v>
      </c>
      <c r="V19" s="19">
        <v>0.99</v>
      </c>
      <c r="W19" s="25"/>
    </row>
    <row r="20" spans="1:23" ht="15.75" x14ac:dyDescent="0.25">
      <c r="A20" s="12">
        <v>13</v>
      </c>
      <c r="B20" s="22" t="s">
        <v>265</v>
      </c>
      <c r="C20" s="19" t="s">
        <v>124</v>
      </c>
      <c r="D20" s="19" t="s">
        <v>124</v>
      </c>
      <c r="E20" s="12">
        <v>1232.4000000000001</v>
      </c>
      <c r="F20" s="17">
        <f t="shared" si="88"/>
        <v>1154.0999999999999</v>
      </c>
      <c r="G20" s="19">
        <f t="shared" ref="G20" si="101">E20-F20</f>
        <v>78.300000000000182</v>
      </c>
      <c r="H20" s="91">
        <f t="shared" si="90"/>
        <v>1</v>
      </c>
      <c r="I20" s="19">
        <f t="shared" ref="I20" si="102">G20*H20</f>
        <v>78.300000000000182</v>
      </c>
      <c r="J20" s="12">
        <v>1750.5</v>
      </c>
      <c r="K20" s="17">
        <f t="shared" si="92"/>
        <v>1587.9</v>
      </c>
      <c r="L20" s="19">
        <f t="shared" ref="L20" si="103">J20-K20</f>
        <v>162.59999999999991</v>
      </c>
      <c r="M20" s="17">
        <f t="shared" si="94"/>
        <v>1</v>
      </c>
      <c r="N20" s="19">
        <f t="shared" ref="N20" si="104">L20*M20</f>
        <v>162.59999999999991</v>
      </c>
      <c r="O20" s="17">
        <f t="shared" ref="O20" si="105">N20-I20</f>
        <v>84.299999999999727</v>
      </c>
      <c r="P20" s="12">
        <v>2747</v>
      </c>
      <c r="Q20" s="17">
        <f t="shared" si="97"/>
        <v>2543</v>
      </c>
      <c r="R20" s="19">
        <f t="shared" ref="R20:R21" si="106">P20-Q20</f>
        <v>204</v>
      </c>
      <c r="S20" s="17">
        <f t="shared" si="99"/>
        <v>1</v>
      </c>
      <c r="T20" s="19">
        <f t="shared" ref="T20:T21" si="107">R20*S20</f>
        <v>204</v>
      </c>
      <c r="U20" s="19">
        <v>0.94</v>
      </c>
      <c r="V20" s="19">
        <v>0.99</v>
      </c>
      <c r="W20" s="25"/>
    </row>
    <row r="21" spans="1:23" ht="15.75" x14ac:dyDescent="0.25">
      <c r="A21" s="12">
        <v>14</v>
      </c>
      <c r="B21" s="22" t="s">
        <v>266</v>
      </c>
      <c r="C21" s="19" t="s">
        <v>124</v>
      </c>
      <c r="D21" s="19" t="s">
        <v>124</v>
      </c>
      <c r="E21" s="12">
        <v>1272.7</v>
      </c>
      <c r="F21" s="17">
        <f t="shared" si="88"/>
        <v>1232.4000000000001</v>
      </c>
      <c r="G21" s="19">
        <f t="shared" ref="G21" si="108">E21-F21</f>
        <v>40.299999999999955</v>
      </c>
      <c r="H21" s="91">
        <f t="shared" si="90"/>
        <v>1</v>
      </c>
      <c r="I21" s="19">
        <f t="shared" ref="I21" si="109">G21*H21</f>
        <v>40.299999999999955</v>
      </c>
      <c r="J21" s="12">
        <v>1935.2</v>
      </c>
      <c r="K21" s="17">
        <f t="shared" si="92"/>
        <v>1750.5</v>
      </c>
      <c r="L21" s="19">
        <f t="shared" ref="L21" si="110">J21-K21</f>
        <v>184.70000000000005</v>
      </c>
      <c r="M21" s="17">
        <f t="shared" si="94"/>
        <v>1</v>
      </c>
      <c r="N21" s="19">
        <f t="shared" ref="N21" si="111">L21*M21</f>
        <v>184.70000000000005</v>
      </c>
      <c r="O21" s="17">
        <f t="shared" ref="O21" si="112">N21-I21</f>
        <v>144.40000000000009</v>
      </c>
      <c r="P21" s="12">
        <v>2984</v>
      </c>
      <c r="Q21" s="17">
        <f t="shared" si="97"/>
        <v>2747</v>
      </c>
      <c r="R21" s="19">
        <f t="shared" si="106"/>
        <v>237</v>
      </c>
      <c r="S21" s="17">
        <f t="shared" si="99"/>
        <v>1</v>
      </c>
      <c r="T21" s="19">
        <f t="shared" si="107"/>
        <v>237</v>
      </c>
      <c r="U21" s="19">
        <v>1.82</v>
      </c>
      <c r="V21" s="19">
        <v>0.94</v>
      </c>
      <c r="W21" s="25"/>
    </row>
    <row r="22" spans="1:23" ht="15.75" x14ac:dyDescent="0.25">
      <c r="A22" s="12">
        <v>15</v>
      </c>
      <c r="B22" s="22" t="s">
        <v>267</v>
      </c>
      <c r="C22" s="19" t="s">
        <v>124</v>
      </c>
      <c r="D22" s="19" t="s">
        <v>124</v>
      </c>
      <c r="E22" s="12">
        <v>1345.7</v>
      </c>
      <c r="F22" s="17">
        <f t="shared" si="88"/>
        <v>1272.7</v>
      </c>
      <c r="G22" s="19">
        <f t="shared" ref="G22" si="113">E22-F22</f>
        <v>73</v>
      </c>
      <c r="H22" s="91">
        <f t="shared" si="90"/>
        <v>1</v>
      </c>
      <c r="I22" s="19">
        <f t="shared" ref="I22" si="114">G22*H22</f>
        <v>73</v>
      </c>
      <c r="J22" s="12">
        <v>2107.6</v>
      </c>
      <c r="K22" s="17">
        <f t="shared" si="92"/>
        <v>1935.2</v>
      </c>
      <c r="L22" s="19">
        <f t="shared" ref="L22" si="115">J22-K22</f>
        <v>172.39999999999986</v>
      </c>
      <c r="M22" s="17">
        <f t="shared" si="94"/>
        <v>1</v>
      </c>
      <c r="N22" s="19">
        <f t="shared" ref="N22" si="116">L22*M22</f>
        <v>172.39999999999986</v>
      </c>
      <c r="O22" s="17">
        <f t="shared" ref="O22" si="117">N22-I22</f>
        <v>99.399999999999864</v>
      </c>
      <c r="P22" s="12">
        <v>3208</v>
      </c>
      <c r="Q22" s="17">
        <f t="shared" si="97"/>
        <v>2984</v>
      </c>
      <c r="R22" s="19">
        <f t="shared" ref="R22" si="118">P22-Q22</f>
        <v>224</v>
      </c>
      <c r="S22" s="17">
        <f t="shared" si="99"/>
        <v>1</v>
      </c>
      <c r="T22" s="19">
        <f t="shared" ref="T22" si="119">R22*S22</f>
        <v>224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124</v>
      </c>
      <c r="D23" s="19" t="s">
        <v>124</v>
      </c>
      <c r="E23" s="12">
        <v>1435.9</v>
      </c>
      <c r="F23" s="17">
        <f t="shared" si="88"/>
        <v>1345.7</v>
      </c>
      <c r="G23" s="19">
        <f t="shared" ref="G23" si="120">E23-F23</f>
        <v>90.200000000000045</v>
      </c>
      <c r="H23" s="91">
        <f t="shared" si="90"/>
        <v>1</v>
      </c>
      <c r="I23" s="19">
        <f t="shared" ref="I23" si="121">G23*H23</f>
        <v>90.200000000000045</v>
      </c>
      <c r="J23" s="12">
        <v>2266.5</v>
      </c>
      <c r="K23" s="17">
        <f t="shared" si="92"/>
        <v>2107.6</v>
      </c>
      <c r="L23" s="19">
        <f t="shared" ref="L23" si="122">J23-K23</f>
        <v>158.90000000000009</v>
      </c>
      <c r="M23" s="17">
        <f t="shared" si="94"/>
        <v>1</v>
      </c>
      <c r="N23" s="19">
        <f t="shared" ref="N23" si="123">L23*M23</f>
        <v>158.90000000000009</v>
      </c>
      <c r="O23" s="17">
        <f t="shared" ref="O23" si="124">N23-I23</f>
        <v>68.700000000000045</v>
      </c>
      <c r="P23" s="12">
        <v>3429</v>
      </c>
      <c r="Q23" s="17">
        <f t="shared" si="97"/>
        <v>3208</v>
      </c>
      <c r="R23" s="19">
        <f t="shared" ref="R23" si="125">P23-Q23</f>
        <v>221</v>
      </c>
      <c r="S23" s="17">
        <f t="shared" si="99"/>
        <v>1</v>
      </c>
      <c r="T23" s="19">
        <f t="shared" ref="T23" si="126">R23*S23</f>
        <v>221</v>
      </c>
      <c r="U23" s="19">
        <v>1.83</v>
      </c>
      <c r="V23" s="19">
        <v>0.98</v>
      </c>
      <c r="W23" s="25"/>
    </row>
    <row r="24" spans="1:23" ht="15.75" x14ac:dyDescent="0.25">
      <c r="A24" s="12">
        <v>17</v>
      </c>
      <c r="B24" s="22" t="s">
        <v>272</v>
      </c>
      <c r="C24" s="19" t="s">
        <v>124</v>
      </c>
      <c r="D24" s="19" t="s">
        <v>124</v>
      </c>
      <c r="E24" s="12">
        <v>1511</v>
      </c>
      <c r="F24" s="17">
        <f t="shared" si="88"/>
        <v>1435.9</v>
      </c>
      <c r="G24" s="19">
        <f t="shared" ref="G24" si="127">E24-F24</f>
        <v>75.099999999999909</v>
      </c>
      <c r="H24" s="91">
        <f t="shared" si="90"/>
        <v>1</v>
      </c>
      <c r="I24" s="19">
        <f t="shared" ref="I24" si="128">G24*H24</f>
        <v>75.099999999999909</v>
      </c>
      <c r="J24" s="12">
        <v>2413.1999999999998</v>
      </c>
      <c r="K24" s="17">
        <f t="shared" si="92"/>
        <v>2266.5</v>
      </c>
      <c r="L24" s="19">
        <f t="shared" ref="L24" si="129">J24-K24</f>
        <v>146.69999999999982</v>
      </c>
      <c r="M24" s="17">
        <f t="shared" si="94"/>
        <v>1</v>
      </c>
      <c r="N24" s="19">
        <f t="shared" ref="N24" si="130">L24*M24</f>
        <v>146.69999999999982</v>
      </c>
      <c r="O24" s="17">
        <f t="shared" ref="O24" si="131">N24-I24</f>
        <v>71.599999999999909</v>
      </c>
      <c r="P24" s="12">
        <v>3646</v>
      </c>
      <c r="Q24" s="17">
        <f t="shared" si="97"/>
        <v>3429</v>
      </c>
      <c r="R24" s="19">
        <f t="shared" ref="R24" si="132">P24-Q24</f>
        <v>217</v>
      </c>
      <c r="S24" s="17">
        <f t="shared" si="99"/>
        <v>1</v>
      </c>
      <c r="T24" s="19">
        <f t="shared" ref="T24" si="133">R24*S24</f>
        <v>217</v>
      </c>
      <c r="U24" s="19">
        <v>0.85</v>
      </c>
      <c r="V24" s="19">
        <v>0.95</v>
      </c>
      <c r="W24" s="25"/>
    </row>
    <row r="25" spans="1:23" ht="15.75" x14ac:dyDescent="0.25">
      <c r="A25" s="12">
        <v>18</v>
      </c>
      <c r="B25" s="22" t="s">
        <v>274</v>
      </c>
      <c r="C25" s="19" t="s">
        <v>124</v>
      </c>
      <c r="D25" s="19" t="s">
        <v>124</v>
      </c>
      <c r="E25" s="12">
        <v>1593.3</v>
      </c>
      <c r="F25" s="17">
        <f t="shared" ref="F25" si="134">E24</f>
        <v>1511</v>
      </c>
      <c r="G25" s="19">
        <f t="shared" ref="G25" si="135">E25-F25</f>
        <v>82.299999999999955</v>
      </c>
      <c r="H25" s="91">
        <f t="shared" si="90"/>
        <v>1</v>
      </c>
      <c r="I25" s="19">
        <f t="shared" ref="I25" si="136">G25*H25</f>
        <v>82.299999999999955</v>
      </c>
      <c r="J25" s="12">
        <v>2518.3000000000002</v>
      </c>
      <c r="K25" s="17">
        <f t="shared" ref="K25" si="137">J24</f>
        <v>2413.1999999999998</v>
      </c>
      <c r="L25" s="19">
        <f t="shared" ref="L25" si="138">J25-K25</f>
        <v>105.10000000000036</v>
      </c>
      <c r="M25" s="17">
        <f t="shared" si="94"/>
        <v>1</v>
      </c>
      <c r="N25" s="19">
        <f t="shared" ref="N25" si="139">L25*M25</f>
        <v>105.10000000000036</v>
      </c>
      <c r="O25" s="17">
        <f t="shared" ref="O25" si="140">N25-I25</f>
        <v>22.800000000000409</v>
      </c>
      <c r="P25" s="12">
        <v>3845</v>
      </c>
      <c r="Q25" s="17">
        <f t="shared" ref="Q25" si="141">P24</f>
        <v>3646</v>
      </c>
      <c r="R25" s="19">
        <f t="shared" ref="R25" si="142">P25-Q25</f>
        <v>199</v>
      </c>
      <c r="S25" s="17">
        <f t="shared" si="99"/>
        <v>1</v>
      </c>
      <c r="T25" s="19">
        <f t="shared" ref="T25" si="143">R25*S25</f>
        <v>199</v>
      </c>
      <c r="U25" s="19">
        <v>1.7</v>
      </c>
      <c r="V25" s="19"/>
      <c r="W25" s="25"/>
    </row>
    <row r="26" spans="1:23" ht="15.75" x14ac:dyDescent="0.25">
      <c r="A26" s="12">
        <v>19</v>
      </c>
      <c r="B26" s="22" t="s">
        <v>276</v>
      </c>
      <c r="C26" s="19" t="s">
        <v>124</v>
      </c>
      <c r="D26" s="19" t="s">
        <v>124</v>
      </c>
      <c r="E26" s="12">
        <v>1690.2</v>
      </c>
      <c r="F26" s="17">
        <f t="shared" ref="F26" si="144">E25</f>
        <v>1593.3</v>
      </c>
      <c r="G26" s="19">
        <f t="shared" ref="G26" si="145">E26-F26</f>
        <v>96.900000000000091</v>
      </c>
      <c r="H26" s="91">
        <f t="shared" si="90"/>
        <v>1</v>
      </c>
      <c r="I26" s="19">
        <f t="shared" ref="I26" si="146">G26*H26</f>
        <v>96.900000000000091</v>
      </c>
      <c r="J26" s="12">
        <v>2595</v>
      </c>
      <c r="K26" s="17">
        <f t="shared" ref="K26" si="147">J25</f>
        <v>2518.3000000000002</v>
      </c>
      <c r="L26" s="19">
        <f t="shared" ref="L26" si="148">J26-K26</f>
        <v>76.699999999999818</v>
      </c>
      <c r="M26" s="17">
        <f t="shared" si="94"/>
        <v>1</v>
      </c>
      <c r="N26" s="19">
        <f t="shared" ref="N26" si="149">L26*M26</f>
        <v>76.699999999999818</v>
      </c>
      <c r="O26" s="17">
        <f t="shared" ref="O26" si="150">N26-I26</f>
        <v>-20.200000000000273</v>
      </c>
      <c r="P26" s="12">
        <v>3938</v>
      </c>
      <c r="Q26" s="17">
        <f t="shared" ref="Q26" si="151">P25</f>
        <v>3845</v>
      </c>
      <c r="R26" s="19">
        <f t="shared" ref="R26" si="152">P26-Q26</f>
        <v>93</v>
      </c>
      <c r="S26" s="17">
        <f t="shared" si="99"/>
        <v>1</v>
      </c>
      <c r="T26" s="19">
        <f t="shared" ref="T26" si="153">R26*S26</f>
        <v>93</v>
      </c>
      <c r="U26" s="19">
        <v>1.27</v>
      </c>
      <c r="V26" s="19">
        <v>0.73</v>
      </c>
      <c r="W26" s="25"/>
    </row>
    <row r="27" spans="1:23" ht="15.75" x14ac:dyDescent="0.25">
      <c r="A27" s="12">
        <v>20</v>
      </c>
      <c r="B27" s="22" t="s">
        <v>262</v>
      </c>
      <c r="C27" s="19" t="s">
        <v>124</v>
      </c>
      <c r="D27" s="19" t="s">
        <v>124</v>
      </c>
      <c r="E27" s="12">
        <v>1784</v>
      </c>
      <c r="F27" s="17">
        <f t="shared" ref="F27" si="154">E26</f>
        <v>1690.2</v>
      </c>
      <c r="G27" s="19">
        <f t="shared" ref="G27" si="155">E27-F27</f>
        <v>93.799999999999955</v>
      </c>
      <c r="H27" s="91">
        <f t="shared" si="90"/>
        <v>1</v>
      </c>
      <c r="I27" s="19">
        <f t="shared" ref="I27" si="156">G27*H27</f>
        <v>93.799999999999955</v>
      </c>
      <c r="J27" s="12">
        <v>2675.8</v>
      </c>
      <c r="K27" s="17">
        <f t="shared" ref="K27" si="157">J26</f>
        <v>2595</v>
      </c>
      <c r="L27" s="19">
        <f t="shared" ref="L27" si="158">J27-K27</f>
        <v>80.800000000000182</v>
      </c>
      <c r="M27" s="17">
        <f t="shared" si="94"/>
        <v>1</v>
      </c>
      <c r="N27" s="19">
        <f t="shared" ref="N27" si="159">L27*M27</f>
        <v>80.800000000000182</v>
      </c>
      <c r="O27" s="17">
        <f t="shared" ref="O27" si="160">N27-I27</f>
        <v>-12.999999999999773</v>
      </c>
      <c r="P27" s="12">
        <v>4030</v>
      </c>
      <c r="Q27" s="17">
        <f t="shared" ref="Q27" si="161">P26</f>
        <v>3938</v>
      </c>
      <c r="R27" s="19">
        <f t="shared" ref="R27" si="162">P27-Q27</f>
        <v>92</v>
      </c>
      <c r="S27" s="17">
        <f t="shared" si="99"/>
        <v>1</v>
      </c>
      <c r="T27" s="19">
        <f t="shared" ref="T27" si="163">R27*S27</f>
        <v>92</v>
      </c>
      <c r="U27" s="19">
        <v>1.27</v>
      </c>
      <c r="V27" s="19">
        <v>0.81</v>
      </c>
      <c r="W27" s="25"/>
    </row>
    <row r="28" spans="1:23" ht="15.75" x14ac:dyDescent="0.25">
      <c r="A28" s="12">
        <v>21</v>
      </c>
      <c r="B28" s="22" t="s">
        <v>277</v>
      </c>
      <c r="C28" s="19" t="s">
        <v>124</v>
      </c>
      <c r="D28" s="19" t="s">
        <v>124</v>
      </c>
      <c r="E28" s="12">
        <v>1889.8</v>
      </c>
      <c r="F28" s="17">
        <f t="shared" ref="F28" si="164">E27</f>
        <v>1784</v>
      </c>
      <c r="G28" s="19">
        <f t="shared" ref="G28" si="165">E28-F28</f>
        <v>105.79999999999995</v>
      </c>
      <c r="H28" s="91">
        <f t="shared" si="90"/>
        <v>1</v>
      </c>
      <c r="I28" s="19">
        <f t="shared" ref="I28" si="166">G28*H28</f>
        <v>105.79999999999995</v>
      </c>
      <c r="J28" s="12">
        <v>2775.4</v>
      </c>
      <c r="K28" s="17">
        <f t="shared" ref="K28" si="167">J27</f>
        <v>2675.8</v>
      </c>
      <c r="L28" s="19">
        <f t="shared" ref="L28" si="168">J28-K28</f>
        <v>99.599999999999909</v>
      </c>
      <c r="M28" s="17">
        <f t="shared" si="94"/>
        <v>1</v>
      </c>
      <c r="N28" s="19">
        <f t="shared" ref="N28" si="169">L28*M28</f>
        <v>99.599999999999909</v>
      </c>
      <c r="O28" s="17">
        <f t="shared" ref="O28" si="170">N28-I28</f>
        <v>-6.2000000000000455</v>
      </c>
      <c r="P28" s="12">
        <v>4237</v>
      </c>
      <c r="Q28" s="17">
        <f t="shared" ref="Q28" si="171">P27</f>
        <v>4030</v>
      </c>
      <c r="R28" s="19">
        <f t="shared" ref="R28" si="172">P28-Q28</f>
        <v>207</v>
      </c>
      <c r="S28" s="17">
        <f t="shared" si="99"/>
        <v>1</v>
      </c>
      <c r="T28" s="19">
        <f t="shared" ref="T28" si="173">R28*S28</f>
        <v>207</v>
      </c>
      <c r="U28" s="19">
        <v>1.1399999999999999</v>
      </c>
      <c r="V28" s="19">
        <v>0.87</v>
      </c>
      <c r="W28" s="25"/>
    </row>
    <row r="29" spans="1:23" ht="15.75" x14ac:dyDescent="0.25">
      <c r="A29" s="12">
        <v>22</v>
      </c>
      <c r="B29" s="22" t="s">
        <v>278</v>
      </c>
      <c r="C29" s="19" t="s">
        <v>124</v>
      </c>
      <c r="D29" s="19" t="s">
        <v>124</v>
      </c>
      <c r="E29" s="12">
        <v>1975.2</v>
      </c>
      <c r="F29" s="17">
        <f t="shared" ref="F29" si="174">E28</f>
        <v>1889.8</v>
      </c>
      <c r="G29" s="19">
        <f t="shared" ref="G29" si="175">E29-F29</f>
        <v>85.400000000000091</v>
      </c>
      <c r="H29" s="91">
        <f t="shared" si="90"/>
        <v>1</v>
      </c>
      <c r="I29" s="19">
        <f t="shared" ref="I29" si="176">G29*H29</f>
        <v>85.400000000000091</v>
      </c>
      <c r="J29" s="12">
        <v>2966.3</v>
      </c>
      <c r="K29" s="17">
        <f t="shared" ref="K29" si="177">J28</f>
        <v>2775.4</v>
      </c>
      <c r="L29" s="19">
        <f t="shared" ref="L29" si="178">J29-K29</f>
        <v>190.90000000000009</v>
      </c>
      <c r="M29" s="17">
        <f t="shared" si="94"/>
        <v>1</v>
      </c>
      <c r="N29" s="19">
        <f t="shared" ref="N29" si="179">L29*M29</f>
        <v>190.90000000000009</v>
      </c>
      <c r="O29" s="17">
        <f t="shared" ref="O29" si="180">N29-I29</f>
        <v>105.5</v>
      </c>
      <c r="P29" s="12">
        <v>4480</v>
      </c>
      <c r="Q29" s="17">
        <f t="shared" ref="Q29" si="181">P28</f>
        <v>4237</v>
      </c>
      <c r="R29" s="19">
        <f t="shared" ref="R29" si="182">P29-Q29</f>
        <v>243</v>
      </c>
      <c r="S29" s="17">
        <f t="shared" si="99"/>
        <v>1</v>
      </c>
      <c r="T29" s="19">
        <f t="shared" ref="T29" si="183">R29*S29</f>
        <v>243</v>
      </c>
      <c r="U29" s="19">
        <v>1.1000000000000001</v>
      </c>
      <c r="V29" s="19">
        <v>0.87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124</v>
      </c>
      <c r="D31" s="19" t="s">
        <v>124</v>
      </c>
      <c r="E31" s="12">
        <v>2065.1999999999998</v>
      </c>
      <c r="F31" s="17">
        <f t="shared" ref="F31" si="184">E29</f>
        <v>1975.2</v>
      </c>
      <c r="G31" s="19">
        <f t="shared" ref="G31" si="185">E31-F31</f>
        <v>89.999999999999773</v>
      </c>
      <c r="H31" s="91">
        <f>H29</f>
        <v>1</v>
      </c>
      <c r="I31" s="19">
        <f t="shared" ref="I31" si="186">G31*H31</f>
        <v>89.999999999999773</v>
      </c>
      <c r="J31" s="12">
        <v>3162.3</v>
      </c>
      <c r="K31" s="17">
        <f t="shared" ref="K31" si="187">J29</f>
        <v>2966.3</v>
      </c>
      <c r="L31" s="19">
        <f t="shared" ref="L31" si="188">J31-K31</f>
        <v>196</v>
      </c>
      <c r="M31" s="17">
        <f>M29</f>
        <v>1</v>
      </c>
      <c r="N31" s="19">
        <f t="shared" ref="N31" si="189">L31*M31</f>
        <v>196</v>
      </c>
      <c r="O31" s="17">
        <f t="shared" ref="O31" si="190">N31-I31</f>
        <v>106.00000000000023</v>
      </c>
      <c r="P31" s="12">
        <v>4730</v>
      </c>
      <c r="Q31" s="17">
        <f t="shared" ref="Q31" si="191">P29</f>
        <v>4480</v>
      </c>
      <c r="R31" s="19">
        <f t="shared" ref="R31" si="192">P31-Q31</f>
        <v>250</v>
      </c>
      <c r="S31" s="17">
        <f>S29</f>
        <v>1</v>
      </c>
      <c r="T31" s="19">
        <f t="shared" ref="T31" si="193">R31*S31</f>
        <v>250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124</v>
      </c>
      <c r="D32" s="19" t="s">
        <v>124</v>
      </c>
      <c r="E32" s="12">
        <v>2099.8000000000002</v>
      </c>
      <c r="F32" s="17">
        <f t="shared" ref="F32" si="194">E31</f>
        <v>2065.1999999999998</v>
      </c>
      <c r="G32" s="19">
        <f t="shared" ref="G32" si="195">E32-F32</f>
        <v>34.600000000000364</v>
      </c>
      <c r="H32" s="91">
        <f t="shared" si="90"/>
        <v>1</v>
      </c>
      <c r="I32" s="19">
        <f t="shared" ref="I32" si="196">G32*H32</f>
        <v>34.600000000000364</v>
      </c>
      <c r="J32" s="12">
        <v>3369.1</v>
      </c>
      <c r="K32" s="17">
        <f t="shared" ref="K32" si="197">J31</f>
        <v>3162.3</v>
      </c>
      <c r="L32" s="19">
        <f t="shared" ref="L32" si="198">J32-K32</f>
        <v>206.79999999999973</v>
      </c>
      <c r="M32" s="17">
        <f t="shared" si="94"/>
        <v>1</v>
      </c>
      <c r="N32" s="19">
        <f t="shared" ref="N32" si="199">L32*M32</f>
        <v>206.79999999999973</v>
      </c>
      <c r="O32" s="17">
        <f t="shared" ref="O32" si="200">N32-I32</f>
        <v>172.19999999999936</v>
      </c>
      <c r="P32" s="12">
        <v>4982</v>
      </c>
      <c r="Q32" s="17">
        <f t="shared" ref="Q32" si="201">P31</f>
        <v>4730</v>
      </c>
      <c r="R32" s="19">
        <f t="shared" ref="R32" si="202">P32-Q32</f>
        <v>252</v>
      </c>
      <c r="S32" s="17">
        <f t="shared" si="99"/>
        <v>1</v>
      </c>
      <c r="T32" s="19">
        <f t="shared" ref="T32" si="203">R32*S32</f>
        <v>252</v>
      </c>
      <c r="U32" s="19">
        <v>0.5</v>
      </c>
      <c r="V32" s="19">
        <v>0.87</v>
      </c>
      <c r="W32" s="25"/>
    </row>
    <row r="33" spans="1:23" ht="15.75" x14ac:dyDescent="0.25">
      <c r="A33" s="12">
        <v>25</v>
      </c>
      <c r="B33" s="22" t="s">
        <v>281</v>
      </c>
      <c r="C33" s="19" t="s">
        <v>124</v>
      </c>
      <c r="D33" s="19" t="s">
        <v>124</v>
      </c>
      <c r="E33" s="12">
        <v>2160.9</v>
      </c>
      <c r="F33" s="17">
        <f t="shared" ref="F33" si="204">E32</f>
        <v>2099.8000000000002</v>
      </c>
      <c r="G33" s="19">
        <f t="shared" ref="G33" si="205">E33-F33</f>
        <v>61.099999999999909</v>
      </c>
      <c r="H33" s="91">
        <f t="shared" si="90"/>
        <v>1</v>
      </c>
      <c r="I33" s="19">
        <f t="shared" ref="I33" si="206">G33*H33</f>
        <v>61.099999999999909</v>
      </c>
      <c r="J33" s="12">
        <v>3549.4</v>
      </c>
      <c r="K33" s="17">
        <f t="shared" ref="K33" si="207">J32</f>
        <v>3369.1</v>
      </c>
      <c r="L33" s="19">
        <f t="shared" ref="L33" si="208">J33-K33</f>
        <v>180.30000000000018</v>
      </c>
      <c r="M33" s="17">
        <f t="shared" si="94"/>
        <v>1</v>
      </c>
      <c r="N33" s="19">
        <f t="shared" ref="N33" si="209">L33*M33</f>
        <v>180.30000000000018</v>
      </c>
      <c r="O33" s="17">
        <f t="shared" ref="O33" si="210">N33-I33</f>
        <v>119.20000000000027</v>
      </c>
      <c r="P33" s="12">
        <v>5240</v>
      </c>
      <c r="Q33" s="17">
        <f t="shared" ref="Q33" si="211">P32</f>
        <v>4982</v>
      </c>
      <c r="R33" s="19">
        <f t="shared" ref="R33" si="212">P33-Q33</f>
        <v>258</v>
      </c>
      <c r="S33" s="17">
        <f t="shared" si="99"/>
        <v>1</v>
      </c>
      <c r="T33" s="19">
        <f t="shared" ref="T33" si="213">R33*S33</f>
        <v>258</v>
      </c>
      <c r="U33" s="19">
        <v>0.86</v>
      </c>
      <c r="V33" s="19">
        <v>0.97</v>
      </c>
      <c r="W33" s="25"/>
    </row>
    <row r="34" spans="1:23" ht="15.75" x14ac:dyDescent="0.25">
      <c r="A34" s="12">
        <v>26</v>
      </c>
      <c r="B34" s="22" t="s">
        <v>282</v>
      </c>
      <c r="C34" s="19" t="s">
        <v>124</v>
      </c>
      <c r="D34" s="19" t="s">
        <v>124</v>
      </c>
      <c r="E34" s="12">
        <v>2236.5</v>
      </c>
      <c r="F34" s="17">
        <f t="shared" ref="F34" si="214">E33</f>
        <v>2160.9</v>
      </c>
      <c r="G34" s="19">
        <f t="shared" ref="G34" si="215">E34-F34</f>
        <v>75.599999999999909</v>
      </c>
      <c r="H34" s="91">
        <f t="shared" si="90"/>
        <v>1</v>
      </c>
      <c r="I34" s="19">
        <f t="shared" ref="I34" si="216">G34*H34</f>
        <v>75.599999999999909</v>
      </c>
      <c r="J34" s="12">
        <v>3699.8</v>
      </c>
      <c r="K34" s="17">
        <f t="shared" ref="K34" si="217">J33</f>
        <v>3549.4</v>
      </c>
      <c r="L34" s="19">
        <f t="shared" ref="L34" si="218">J34-K34</f>
        <v>150.40000000000009</v>
      </c>
      <c r="M34" s="17">
        <f t="shared" si="94"/>
        <v>1</v>
      </c>
      <c r="N34" s="19">
        <f t="shared" ref="N34" si="219">L34*M34</f>
        <v>150.40000000000009</v>
      </c>
      <c r="O34" s="17">
        <f t="shared" ref="O34:O35" si="220">N34-I34</f>
        <v>74.800000000000182</v>
      </c>
      <c r="P34" s="12">
        <v>5456</v>
      </c>
      <c r="Q34" s="17">
        <f t="shared" ref="Q34" si="221">P33</f>
        <v>5240</v>
      </c>
      <c r="R34" s="19">
        <f t="shared" ref="R34" si="222">P34-Q34</f>
        <v>216</v>
      </c>
      <c r="S34" s="17">
        <f t="shared" si="99"/>
        <v>1</v>
      </c>
      <c r="T34" s="19">
        <f t="shared" ref="T34" si="223">R34*S34</f>
        <v>216</v>
      </c>
      <c r="U34" s="19"/>
      <c r="V34" s="19">
        <v>0.85</v>
      </c>
      <c r="W34" s="25"/>
    </row>
    <row r="35" spans="1:23" ht="15.75" x14ac:dyDescent="0.25">
      <c r="A35" s="12">
        <v>27</v>
      </c>
      <c r="B35" s="22" t="s">
        <v>283</v>
      </c>
      <c r="C35" s="19" t="s">
        <v>124</v>
      </c>
      <c r="D35" s="19" t="s">
        <v>124</v>
      </c>
      <c r="E35" s="12">
        <v>2315.8000000000002</v>
      </c>
      <c r="F35" s="17">
        <f t="shared" ref="F35" si="224">E34</f>
        <v>2236.5</v>
      </c>
      <c r="G35" s="19">
        <f t="shared" ref="G35" si="225">E35-F35</f>
        <v>79.300000000000182</v>
      </c>
      <c r="H35" s="91">
        <f t="shared" si="90"/>
        <v>1</v>
      </c>
      <c r="I35" s="19">
        <f t="shared" ref="I35" si="226">G35*H35</f>
        <v>79.300000000000182</v>
      </c>
      <c r="J35" s="12">
        <v>3867</v>
      </c>
      <c r="K35" s="17">
        <f t="shared" ref="K35" si="227">J34</f>
        <v>3699.8</v>
      </c>
      <c r="L35" s="19">
        <f t="shared" ref="L35" si="228">J35-K35</f>
        <v>167.19999999999982</v>
      </c>
      <c r="M35" s="17">
        <f t="shared" si="94"/>
        <v>1</v>
      </c>
      <c r="N35" s="19">
        <f t="shared" ref="N35" si="229">L35*M35</f>
        <v>167.19999999999982</v>
      </c>
      <c r="O35" s="17">
        <f t="shared" si="220"/>
        <v>87.899999999999636</v>
      </c>
      <c r="P35" s="12">
        <v>5673</v>
      </c>
      <c r="Q35" s="17">
        <f t="shared" ref="Q35" si="230">P34</f>
        <v>5456</v>
      </c>
      <c r="R35" s="19">
        <f t="shared" ref="R35" si="231">P35-Q35</f>
        <v>217</v>
      </c>
      <c r="S35" s="17">
        <f t="shared" si="99"/>
        <v>1</v>
      </c>
      <c r="T35" s="19">
        <f t="shared" ref="T35" si="232">R35*S35</f>
        <v>217</v>
      </c>
      <c r="U35" s="19">
        <v>1.63</v>
      </c>
      <c r="V35" s="19">
        <v>0.99</v>
      </c>
      <c r="W35" s="25"/>
    </row>
    <row r="36" spans="1:23" ht="15.75" x14ac:dyDescent="0.25">
      <c r="A36" s="12">
        <v>28</v>
      </c>
      <c r="B36" s="22" t="s">
        <v>284</v>
      </c>
      <c r="C36" s="19" t="s">
        <v>124</v>
      </c>
      <c r="D36" s="19" t="s">
        <v>124</v>
      </c>
      <c r="E36" s="12">
        <v>2389.3000000000002</v>
      </c>
      <c r="F36" s="17">
        <f t="shared" ref="F36" si="233">E35</f>
        <v>2315.8000000000002</v>
      </c>
      <c r="G36" s="19">
        <f t="shared" ref="G36" si="234">E36-F36</f>
        <v>73.5</v>
      </c>
      <c r="H36" s="91">
        <f t="shared" si="90"/>
        <v>1</v>
      </c>
      <c r="I36" s="19">
        <f t="shared" ref="I36" si="235">G36*H36</f>
        <v>73.5</v>
      </c>
      <c r="J36" s="12">
        <v>4050.2</v>
      </c>
      <c r="K36" s="17">
        <f t="shared" ref="K36" si="236">J35</f>
        <v>3867</v>
      </c>
      <c r="L36" s="19">
        <f t="shared" ref="L36" si="237">J36-K36</f>
        <v>183.19999999999982</v>
      </c>
      <c r="M36" s="17">
        <f t="shared" si="94"/>
        <v>1</v>
      </c>
      <c r="N36" s="19">
        <f t="shared" ref="N36" si="238">L36*M36</f>
        <v>183.19999999999982</v>
      </c>
      <c r="O36" s="17">
        <f t="shared" ref="O36:O37" si="239">N36-I36</f>
        <v>109.69999999999982</v>
      </c>
      <c r="P36" s="12">
        <v>5913</v>
      </c>
      <c r="Q36" s="17">
        <f t="shared" ref="Q36" si="240">P35</f>
        <v>5673</v>
      </c>
      <c r="R36" s="19">
        <f t="shared" ref="R36" si="241">P36-Q36</f>
        <v>240</v>
      </c>
      <c r="S36" s="17">
        <f t="shared" si="99"/>
        <v>1</v>
      </c>
      <c r="T36" s="19">
        <f t="shared" ref="T36" si="242">R36*S36</f>
        <v>240</v>
      </c>
      <c r="U36" s="19">
        <v>2.11</v>
      </c>
      <c r="V36" s="19">
        <v>0.97</v>
      </c>
      <c r="W36" s="25"/>
    </row>
    <row r="37" spans="1:23" ht="15.75" x14ac:dyDescent="0.25">
      <c r="A37" s="12">
        <v>29</v>
      </c>
      <c r="B37" s="22" t="s">
        <v>286</v>
      </c>
      <c r="C37" s="19" t="s">
        <v>124</v>
      </c>
      <c r="D37" s="19" t="s">
        <v>124</v>
      </c>
      <c r="E37" s="12">
        <v>2499.3000000000002</v>
      </c>
      <c r="F37" s="17">
        <f t="shared" ref="F37" si="243">E36</f>
        <v>2389.3000000000002</v>
      </c>
      <c r="G37" s="19">
        <f t="shared" ref="G37" si="244">E37-F37</f>
        <v>110</v>
      </c>
      <c r="H37" s="91">
        <f t="shared" si="90"/>
        <v>1</v>
      </c>
      <c r="I37" s="19">
        <f t="shared" ref="I37" si="245">G37*H37</f>
        <v>110</v>
      </c>
      <c r="J37" s="12">
        <v>4164.8999999999996</v>
      </c>
      <c r="K37" s="17">
        <f t="shared" ref="K37" si="246">J36</f>
        <v>4050.2</v>
      </c>
      <c r="L37" s="19">
        <f t="shared" ref="L37" si="247">J37-K37</f>
        <v>114.69999999999982</v>
      </c>
      <c r="M37" s="17">
        <f t="shared" si="94"/>
        <v>1</v>
      </c>
      <c r="N37" s="19">
        <f t="shared" ref="N37" si="248">L37*M37</f>
        <v>114.69999999999982</v>
      </c>
      <c r="O37" s="17">
        <f t="shared" si="239"/>
        <v>4.6999999999998181</v>
      </c>
      <c r="P37" s="12">
        <v>6124</v>
      </c>
      <c r="Q37" s="17">
        <f t="shared" ref="Q37" si="249">P36</f>
        <v>5913</v>
      </c>
      <c r="R37" s="19">
        <f t="shared" ref="R37" si="250">P37-Q37</f>
        <v>211</v>
      </c>
      <c r="S37" s="17">
        <f t="shared" si="99"/>
        <v>1</v>
      </c>
      <c r="T37" s="19">
        <f t="shared" ref="T37" si="251">R37*S37</f>
        <v>211</v>
      </c>
      <c r="U37" s="19">
        <v>2.17</v>
      </c>
      <c r="V37" s="19">
        <v>0.97</v>
      </c>
      <c r="W37" s="25"/>
    </row>
    <row r="38" spans="1:23" ht="15.75" x14ac:dyDescent="0.25">
      <c r="A38" s="12">
        <v>30</v>
      </c>
      <c r="B38" s="22" t="s">
        <v>288</v>
      </c>
      <c r="C38" s="19" t="s">
        <v>124</v>
      </c>
      <c r="D38" s="19" t="s">
        <v>124</v>
      </c>
      <c r="E38" s="12">
        <v>2636.4</v>
      </c>
      <c r="F38" s="17">
        <f t="shared" ref="F38" si="252">E37</f>
        <v>2499.3000000000002</v>
      </c>
      <c r="G38" s="19">
        <f t="shared" ref="G38" si="253">E38-F38</f>
        <v>137.09999999999991</v>
      </c>
      <c r="H38" s="91">
        <f t="shared" si="90"/>
        <v>1</v>
      </c>
      <c r="I38" s="19">
        <f t="shared" ref="I38" si="254">G38*H38</f>
        <v>137.09999999999991</v>
      </c>
      <c r="J38" s="12">
        <v>4208.8999999999996</v>
      </c>
      <c r="K38" s="17">
        <f t="shared" ref="K38" si="255">J37</f>
        <v>4164.8999999999996</v>
      </c>
      <c r="L38" s="19">
        <f t="shared" ref="L38" si="256">J38-K38</f>
        <v>44</v>
      </c>
      <c r="M38" s="17">
        <f t="shared" si="94"/>
        <v>1</v>
      </c>
      <c r="N38" s="19">
        <f t="shared" ref="N38" si="257">L38*M38</f>
        <v>44</v>
      </c>
      <c r="O38" s="17">
        <f t="shared" ref="O38" si="258">N38-I38</f>
        <v>-93.099999999999909</v>
      </c>
      <c r="P38" s="12">
        <v>6225</v>
      </c>
      <c r="Q38" s="17">
        <f t="shared" ref="Q38" si="259">P37</f>
        <v>6124</v>
      </c>
      <c r="R38" s="19">
        <f t="shared" ref="R38" si="260">P38-Q38</f>
        <v>101</v>
      </c>
      <c r="S38" s="17">
        <f t="shared" si="99"/>
        <v>1</v>
      </c>
      <c r="T38" s="19">
        <f t="shared" ref="T38" si="261">R38*S38</f>
        <v>101</v>
      </c>
      <c r="U38" s="19">
        <v>1.97</v>
      </c>
      <c r="V38" s="19">
        <v>0.97</v>
      </c>
      <c r="W38" s="25"/>
    </row>
    <row r="39" spans="1:23" ht="15.75" x14ac:dyDescent="0.25">
      <c r="A39" s="12">
        <v>31</v>
      </c>
      <c r="B39" s="22" t="s">
        <v>289</v>
      </c>
      <c r="C39" s="19" t="s">
        <v>124</v>
      </c>
      <c r="D39" s="19" t="s">
        <v>124</v>
      </c>
      <c r="E39" s="12">
        <v>2771.8</v>
      </c>
      <c r="F39" s="17">
        <f t="shared" ref="F39" si="262">E38</f>
        <v>2636.4</v>
      </c>
      <c r="G39" s="19">
        <f t="shared" ref="G39" si="263">E39-F39</f>
        <v>135.40000000000009</v>
      </c>
      <c r="H39" s="91">
        <f t="shared" si="90"/>
        <v>1</v>
      </c>
      <c r="I39" s="19">
        <f t="shared" ref="I39" si="264">G39*H39</f>
        <v>135.40000000000009</v>
      </c>
      <c r="J39" s="12">
        <v>4268.7</v>
      </c>
      <c r="K39" s="17">
        <f t="shared" ref="K39" si="265">J38</f>
        <v>4208.8999999999996</v>
      </c>
      <c r="L39" s="19">
        <f t="shared" ref="L39" si="266">J39-K39</f>
        <v>59.800000000000182</v>
      </c>
      <c r="M39" s="17">
        <f t="shared" si="94"/>
        <v>1</v>
      </c>
      <c r="N39" s="19">
        <f t="shared" ref="N39" si="267">L39*M39</f>
        <v>59.800000000000182</v>
      </c>
      <c r="O39" s="17">
        <f t="shared" ref="O39" si="268">N39-I39</f>
        <v>-75.599999999999909</v>
      </c>
      <c r="P39" s="12">
        <v>6341</v>
      </c>
      <c r="Q39" s="17">
        <f t="shared" ref="Q39" si="269">P38</f>
        <v>6225</v>
      </c>
      <c r="R39" s="19">
        <f t="shared" ref="R39" si="270">P39-Q39</f>
        <v>116</v>
      </c>
      <c r="S39" s="17">
        <f t="shared" si="99"/>
        <v>1</v>
      </c>
      <c r="T39" s="19">
        <f t="shared" ref="T39" si="271">R39*S39</f>
        <v>116</v>
      </c>
      <c r="U39" s="19">
        <v>2.2599999999999998</v>
      </c>
      <c r="V39" s="19">
        <v>0.97</v>
      </c>
      <c r="W39" s="25"/>
    </row>
    <row r="40" spans="1:23" ht="15.75" x14ac:dyDescent="0.25">
      <c r="A40" s="12">
        <v>32</v>
      </c>
      <c r="B40" s="22" t="s">
        <v>290</v>
      </c>
      <c r="C40" s="19" t="s">
        <v>124</v>
      </c>
      <c r="D40" s="19" t="s">
        <v>124</v>
      </c>
      <c r="E40" s="12">
        <v>2878.6</v>
      </c>
      <c r="F40" s="17">
        <f t="shared" ref="F40" si="272">E39</f>
        <v>2771.8</v>
      </c>
      <c r="G40" s="19">
        <f t="shared" ref="G40" si="273">E40-F40</f>
        <v>106.79999999999973</v>
      </c>
      <c r="H40" s="91">
        <f t="shared" si="90"/>
        <v>1</v>
      </c>
      <c r="I40" s="19">
        <f t="shared" ref="I40" si="274">G40*H40</f>
        <v>106.79999999999973</v>
      </c>
      <c r="J40" s="12">
        <v>4333.5</v>
      </c>
      <c r="K40" s="17">
        <f t="shared" ref="K40" si="275">J39</f>
        <v>4268.7</v>
      </c>
      <c r="L40" s="19">
        <f t="shared" ref="L40" si="276">J40-K40</f>
        <v>64.800000000000182</v>
      </c>
      <c r="M40" s="17">
        <f t="shared" si="94"/>
        <v>1</v>
      </c>
      <c r="N40" s="19">
        <f t="shared" ref="N40" si="277">L40*M40</f>
        <v>64.800000000000182</v>
      </c>
      <c r="O40" s="17">
        <f t="shared" ref="O40" si="278">N40-I40</f>
        <v>-41.999999999999545</v>
      </c>
      <c r="P40" s="12">
        <v>6460</v>
      </c>
      <c r="Q40" s="17">
        <f t="shared" ref="Q40" si="279">P39</f>
        <v>6341</v>
      </c>
      <c r="R40" s="19">
        <f t="shared" ref="R40" si="280">P40-Q40</f>
        <v>119</v>
      </c>
      <c r="S40" s="17">
        <f t="shared" si="99"/>
        <v>1</v>
      </c>
      <c r="T40" s="19">
        <f t="shared" ref="T40" si="281">R40*S40</f>
        <v>119</v>
      </c>
      <c r="U40" s="19">
        <v>2.17</v>
      </c>
      <c r="V40" s="19">
        <v>0.94</v>
      </c>
      <c r="W40" s="25"/>
    </row>
    <row r="41" spans="1:23" ht="15.75" x14ac:dyDescent="0.25">
      <c r="A41" s="12">
        <v>33</v>
      </c>
      <c r="B41" s="22" t="s">
        <v>291</v>
      </c>
      <c r="C41" s="19" t="s">
        <v>124</v>
      </c>
      <c r="D41" s="19" t="s">
        <v>124</v>
      </c>
      <c r="E41" s="12">
        <v>2996</v>
      </c>
      <c r="F41" s="17">
        <f t="shared" ref="F41:F48" si="282">E40</f>
        <v>2878.6</v>
      </c>
      <c r="G41" s="19">
        <f t="shared" ref="G41:G48" si="283">E41-F41</f>
        <v>117.40000000000009</v>
      </c>
      <c r="H41" s="91">
        <f t="shared" si="90"/>
        <v>1</v>
      </c>
      <c r="I41" s="19">
        <f t="shared" ref="I41:I48" si="284">G41*H41</f>
        <v>117.40000000000009</v>
      </c>
      <c r="J41" s="12">
        <v>4395.2</v>
      </c>
      <c r="K41" s="17">
        <f t="shared" ref="K41:K48" si="285">J40</f>
        <v>4333.5</v>
      </c>
      <c r="L41" s="19">
        <f t="shared" ref="L41:L48" si="286">J41-K41</f>
        <v>61.699999999999818</v>
      </c>
      <c r="M41" s="17">
        <f t="shared" si="94"/>
        <v>1</v>
      </c>
      <c r="N41" s="19">
        <f t="shared" ref="N41:N48" si="287">L41*M41</f>
        <v>61.699999999999818</v>
      </c>
      <c r="O41" s="17">
        <f t="shared" ref="O41:O48" si="288">N41-I41</f>
        <v>-55.700000000000273</v>
      </c>
      <c r="P41" s="12">
        <v>6590</v>
      </c>
      <c r="Q41" s="17">
        <f t="shared" ref="Q41:Q48" si="289">P40</f>
        <v>6460</v>
      </c>
      <c r="R41" s="19">
        <f t="shared" ref="R41:R48" si="290">P41-Q41</f>
        <v>130</v>
      </c>
      <c r="S41" s="17">
        <f t="shared" si="99"/>
        <v>1</v>
      </c>
      <c r="T41" s="19">
        <f t="shared" ref="T41:T48" si="291">R41*S41</f>
        <v>130</v>
      </c>
      <c r="U41" s="19">
        <v>1.91</v>
      </c>
      <c r="V41" s="19">
        <v>0.85</v>
      </c>
      <c r="W41" s="25"/>
    </row>
    <row r="42" spans="1:23" ht="15.75" x14ac:dyDescent="0.25">
      <c r="A42" s="12">
        <v>34</v>
      </c>
      <c r="B42" s="22" t="s">
        <v>292</v>
      </c>
      <c r="C42" s="19" t="s">
        <v>124</v>
      </c>
      <c r="D42" s="19" t="s">
        <v>124</v>
      </c>
      <c r="E42" s="12">
        <v>3143.2</v>
      </c>
      <c r="F42" s="17">
        <f t="shared" si="282"/>
        <v>2996</v>
      </c>
      <c r="G42" s="19">
        <f t="shared" si="283"/>
        <v>147.19999999999982</v>
      </c>
      <c r="H42" s="91">
        <f t="shared" si="90"/>
        <v>1</v>
      </c>
      <c r="I42" s="19">
        <f t="shared" si="284"/>
        <v>147.19999999999982</v>
      </c>
      <c r="J42" s="12">
        <v>4506.3</v>
      </c>
      <c r="K42" s="17">
        <f t="shared" si="285"/>
        <v>4395.2</v>
      </c>
      <c r="L42" s="19">
        <f t="shared" si="286"/>
        <v>111.10000000000036</v>
      </c>
      <c r="M42" s="17">
        <f t="shared" si="94"/>
        <v>1</v>
      </c>
      <c r="N42" s="19">
        <f t="shared" si="287"/>
        <v>111.10000000000036</v>
      </c>
      <c r="O42" s="17">
        <f t="shared" si="288"/>
        <v>-36.099999999999454</v>
      </c>
      <c r="P42" s="12">
        <v>6777</v>
      </c>
      <c r="Q42" s="17">
        <f t="shared" si="289"/>
        <v>6590</v>
      </c>
      <c r="R42" s="19">
        <f t="shared" si="290"/>
        <v>187</v>
      </c>
      <c r="S42" s="17">
        <f t="shared" si="99"/>
        <v>1</v>
      </c>
      <c r="T42" s="19">
        <f t="shared" si="291"/>
        <v>187</v>
      </c>
      <c r="U42" s="19">
        <v>2.23</v>
      </c>
      <c r="V42" s="19">
        <v>0.9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124</v>
      </c>
      <c r="D44" s="19" t="s">
        <v>124</v>
      </c>
      <c r="E44" s="12">
        <v>3256.3</v>
      </c>
      <c r="F44" s="17">
        <f>E42</f>
        <v>3143.2</v>
      </c>
      <c r="G44" s="19">
        <f t="shared" si="283"/>
        <v>113.10000000000036</v>
      </c>
      <c r="H44" s="91">
        <f>H42</f>
        <v>1</v>
      </c>
      <c r="I44" s="19">
        <f t="shared" si="284"/>
        <v>113.10000000000036</v>
      </c>
      <c r="J44" s="12">
        <v>4678.6000000000004</v>
      </c>
      <c r="K44" s="17">
        <f>J42</f>
        <v>4506.3</v>
      </c>
      <c r="L44" s="19">
        <f t="shared" si="286"/>
        <v>172.30000000000018</v>
      </c>
      <c r="M44" s="17">
        <f>M42</f>
        <v>1</v>
      </c>
      <c r="N44" s="19">
        <f t="shared" si="287"/>
        <v>172.30000000000018</v>
      </c>
      <c r="O44" s="17">
        <f t="shared" si="288"/>
        <v>59.199999999999818</v>
      </c>
      <c r="P44" s="12">
        <v>7064</v>
      </c>
      <c r="Q44" s="17">
        <f>P42</f>
        <v>6777</v>
      </c>
      <c r="R44" s="19">
        <f t="shared" si="290"/>
        <v>287</v>
      </c>
      <c r="S44" s="17">
        <f>S42</f>
        <v>1</v>
      </c>
      <c r="T44" s="19">
        <f t="shared" si="291"/>
        <v>287</v>
      </c>
      <c r="U44" s="19">
        <v>1.91</v>
      </c>
      <c r="V44" s="19">
        <v>0.99</v>
      </c>
      <c r="W44" s="25"/>
    </row>
    <row r="45" spans="1:23" ht="15.75" x14ac:dyDescent="0.25">
      <c r="A45" s="12">
        <v>36</v>
      </c>
      <c r="B45" s="22" t="s">
        <v>294</v>
      </c>
      <c r="C45" s="19" t="s">
        <v>124</v>
      </c>
      <c r="D45" s="19" t="s">
        <v>124</v>
      </c>
      <c r="E45" s="12">
        <v>3363.2</v>
      </c>
      <c r="F45" s="17">
        <f t="shared" si="282"/>
        <v>3256.3</v>
      </c>
      <c r="G45" s="19">
        <f t="shared" si="283"/>
        <v>106.89999999999964</v>
      </c>
      <c r="H45" s="91">
        <f t="shared" si="90"/>
        <v>1</v>
      </c>
      <c r="I45" s="19">
        <f t="shared" si="284"/>
        <v>106.89999999999964</v>
      </c>
      <c r="J45" s="12">
        <v>4810.5</v>
      </c>
      <c r="K45" s="17">
        <f t="shared" si="285"/>
        <v>4678.6000000000004</v>
      </c>
      <c r="L45" s="19">
        <f t="shared" si="286"/>
        <v>131.89999999999964</v>
      </c>
      <c r="M45" s="17">
        <f t="shared" si="94"/>
        <v>1</v>
      </c>
      <c r="N45" s="19">
        <f t="shared" si="287"/>
        <v>131.89999999999964</v>
      </c>
      <c r="O45" s="17">
        <f t="shared" si="288"/>
        <v>25</v>
      </c>
      <c r="P45" s="12">
        <v>7244</v>
      </c>
      <c r="Q45" s="17">
        <f t="shared" si="289"/>
        <v>7064</v>
      </c>
      <c r="R45" s="19">
        <f t="shared" si="290"/>
        <v>180</v>
      </c>
      <c r="S45" s="17">
        <f t="shared" si="99"/>
        <v>1</v>
      </c>
      <c r="T45" s="19">
        <f t="shared" si="291"/>
        <v>180</v>
      </c>
      <c r="U45" s="19">
        <v>1.65</v>
      </c>
      <c r="V45" s="19">
        <v>0.94</v>
      </c>
      <c r="W45" s="25"/>
    </row>
    <row r="46" spans="1:23" ht="15.75" x14ac:dyDescent="0.25">
      <c r="A46" s="12">
        <v>37</v>
      </c>
      <c r="B46" s="22" t="s">
        <v>295</v>
      </c>
      <c r="C46" s="19" t="s">
        <v>124</v>
      </c>
      <c r="D46" s="19" t="s">
        <v>124</v>
      </c>
      <c r="E46" s="12">
        <v>3496.8</v>
      </c>
      <c r="F46" s="17">
        <f t="shared" si="282"/>
        <v>3363.2</v>
      </c>
      <c r="G46" s="19">
        <f t="shared" si="283"/>
        <v>133.60000000000036</v>
      </c>
      <c r="H46" s="91">
        <f t="shared" si="90"/>
        <v>1</v>
      </c>
      <c r="I46" s="19">
        <f t="shared" si="284"/>
        <v>133.60000000000036</v>
      </c>
      <c r="J46" s="12">
        <v>4924.1000000000004</v>
      </c>
      <c r="K46" s="17">
        <f t="shared" si="285"/>
        <v>4810.5</v>
      </c>
      <c r="L46" s="19">
        <f t="shared" si="286"/>
        <v>113.60000000000036</v>
      </c>
      <c r="M46" s="17">
        <f t="shared" si="94"/>
        <v>1</v>
      </c>
      <c r="N46" s="19">
        <f t="shared" si="287"/>
        <v>113.60000000000036</v>
      </c>
      <c r="O46" s="17">
        <f t="shared" si="288"/>
        <v>-20</v>
      </c>
      <c r="P46" s="12">
        <v>7531.8</v>
      </c>
      <c r="Q46" s="17">
        <f t="shared" si="289"/>
        <v>7244</v>
      </c>
      <c r="R46" s="19">
        <f t="shared" si="290"/>
        <v>287.80000000000018</v>
      </c>
      <c r="S46" s="17">
        <f t="shared" si="99"/>
        <v>1</v>
      </c>
      <c r="T46" s="19">
        <f t="shared" si="291"/>
        <v>287.80000000000018</v>
      </c>
      <c r="U46" s="19">
        <v>1.67</v>
      </c>
      <c r="V46" s="19">
        <v>0.95</v>
      </c>
      <c r="W46" s="25"/>
    </row>
    <row r="47" spans="1:23" ht="15.75" x14ac:dyDescent="0.25">
      <c r="A47" s="12">
        <v>38</v>
      </c>
      <c r="B47" s="22" t="s">
        <v>296</v>
      </c>
      <c r="C47" s="19" t="s">
        <v>124</v>
      </c>
      <c r="D47" s="19" t="s">
        <v>124</v>
      </c>
      <c r="E47" s="12">
        <v>3648.8</v>
      </c>
      <c r="F47" s="17">
        <f t="shared" si="282"/>
        <v>3496.8</v>
      </c>
      <c r="G47" s="19">
        <f t="shared" si="283"/>
        <v>152</v>
      </c>
      <c r="H47" s="91">
        <f t="shared" si="90"/>
        <v>1</v>
      </c>
      <c r="I47" s="19">
        <f t="shared" si="284"/>
        <v>152</v>
      </c>
      <c r="J47" s="12">
        <v>5010.3999999999996</v>
      </c>
      <c r="K47" s="17">
        <f t="shared" si="285"/>
        <v>4924.1000000000004</v>
      </c>
      <c r="L47" s="19">
        <f t="shared" si="286"/>
        <v>86.299999999999272</v>
      </c>
      <c r="M47" s="17">
        <f t="shared" si="94"/>
        <v>1</v>
      </c>
      <c r="N47" s="19">
        <f t="shared" si="287"/>
        <v>86.299999999999272</v>
      </c>
      <c r="O47" s="17">
        <f t="shared" si="288"/>
        <v>-65.700000000000728</v>
      </c>
      <c r="P47" s="12">
        <v>7625</v>
      </c>
      <c r="Q47" s="17">
        <f t="shared" si="289"/>
        <v>7531.8</v>
      </c>
      <c r="R47" s="19">
        <f t="shared" si="290"/>
        <v>93.199999999999818</v>
      </c>
      <c r="S47" s="17">
        <f t="shared" si="99"/>
        <v>1</v>
      </c>
      <c r="T47" s="19">
        <f t="shared" si="291"/>
        <v>93.199999999999818</v>
      </c>
      <c r="U47" s="19">
        <v>1.52</v>
      </c>
      <c r="V47" s="19">
        <v>0.88</v>
      </c>
      <c r="W47" s="25"/>
    </row>
    <row r="48" spans="1:23" ht="15.75" x14ac:dyDescent="0.25">
      <c r="A48" s="12">
        <v>39</v>
      </c>
      <c r="B48" s="22" t="s">
        <v>297</v>
      </c>
      <c r="C48" s="19" t="s">
        <v>124</v>
      </c>
      <c r="D48" s="19" t="s">
        <v>124</v>
      </c>
      <c r="E48" s="12">
        <v>3786.2</v>
      </c>
      <c r="F48" s="17">
        <f t="shared" si="282"/>
        <v>3648.8</v>
      </c>
      <c r="G48" s="19">
        <f t="shared" si="283"/>
        <v>137.39999999999964</v>
      </c>
      <c r="H48" s="91">
        <f t="shared" si="90"/>
        <v>1</v>
      </c>
      <c r="I48" s="19">
        <f t="shared" si="284"/>
        <v>137.39999999999964</v>
      </c>
      <c r="J48" s="12">
        <v>5116.8</v>
      </c>
      <c r="K48" s="17">
        <f t="shared" si="285"/>
        <v>5010.3999999999996</v>
      </c>
      <c r="L48" s="19">
        <f t="shared" si="286"/>
        <v>106.40000000000055</v>
      </c>
      <c r="M48" s="17">
        <f t="shared" si="94"/>
        <v>1</v>
      </c>
      <c r="N48" s="19">
        <f t="shared" si="287"/>
        <v>106.40000000000055</v>
      </c>
      <c r="O48" s="17">
        <f t="shared" si="288"/>
        <v>-30.999999999999091</v>
      </c>
      <c r="P48" s="12">
        <v>7821</v>
      </c>
      <c r="Q48" s="17">
        <f t="shared" si="289"/>
        <v>7625</v>
      </c>
      <c r="R48" s="19">
        <f t="shared" si="290"/>
        <v>196</v>
      </c>
      <c r="S48" s="17">
        <f t="shared" si="99"/>
        <v>1</v>
      </c>
      <c r="T48" s="19">
        <f t="shared" si="291"/>
        <v>196</v>
      </c>
      <c r="U48" s="19">
        <v>1.69</v>
      </c>
      <c r="V48" s="19">
        <v>0.85</v>
      </c>
      <c r="W48" s="25"/>
    </row>
    <row r="49" spans="1:23" ht="15.75" x14ac:dyDescent="0.25">
      <c r="A49" s="12">
        <v>40</v>
      </c>
      <c r="B49" s="22" t="s">
        <v>298</v>
      </c>
      <c r="C49" s="19" t="s">
        <v>124</v>
      </c>
      <c r="D49" s="19" t="s">
        <v>124</v>
      </c>
      <c r="E49" s="12">
        <v>3853.9</v>
      </c>
      <c r="F49" s="17">
        <f t="shared" ref="F49" si="292">E48</f>
        <v>3786.2</v>
      </c>
      <c r="G49" s="19">
        <f t="shared" ref="G49" si="293">E49-F49</f>
        <v>67.700000000000273</v>
      </c>
      <c r="H49" s="91">
        <f t="shared" si="90"/>
        <v>1</v>
      </c>
      <c r="I49" s="19">
        <f t="shared" ref="I49" si="294">G49*H49</f>
        <v>67.700000000000273</v>
      </c>
      <c r="J49" s="12">
        <v>5290.7</v>
      </c>
      <c r="K49" s="17">
        <f t="shared" ref="K49" si="295">J48</f>
        <v>5116.8</v>
      </c>
      <c r="L49" s="19">
        <f t="shared" ref="L49" si="296">J49-K49</f>
        <v>173.89999999999964</v>
      </c>
      <c r="M49" s="17">
        <f t="shared" si="94"/>
        <v>1</v>
      </c>
      <c r="N49" s="19">
        <f t="shared" ref="N49" si="297">L49*M49</f>
        <v>173.89999999999964</v>
      </c>
      <c r="O49" s="17">
        <f t="shared" ref="O49" si="298">N49-I49</f>
        <v>106.19999999999936</v>
      </c>
      <c r="P49" s="12">
        <v>8035</v>
      </c>
      <c r="Q49" s="17">
        <f t="shared" ref="Q49" si="299">P48</f>
        <v>7821</v>
      </c>
      <c r="R49" s="19">
        <f t="shared" ref="R49" si="300">P49-Q49</f>
        <v>214</v>
      </c>
      <c r="S49" s="17">
        <f t="shared" si="99"/>
        <v>1</v>
      </c>
      <c r="T49" s="19">
        <f t="shared" ref="T49" si="301">R49*S49</f>
        <v>214</v>
      </c>
      <c r="U49" s="19">
        <v>1.26</v>
      </c>
      <c r="V49" s="19">
        <v>0.93</v>
      </c>
      <c r="W49" s="25"/>
    </row>
    <row r="50" spans="1:23" ht="15.75" x14ac:dyDescent="0.25">
      <c r="A50" s="12">
        <v>41</v>
      </c>
      <c r="B50" s="22" t="s">
        <v>299</v>
      </c>
      <c r="C50" s="19" t="s">
        <v>124</v>
      </c>
      <c r="D50" s="19" t="s">
        <v>124</v>
      </c>
      <c r="E50" s="12">
        <v>3904.1</v>
      </c>
      <c r="F50" s="17">
        <f t="shared" ref="F50" si="302">E49</f>
        <v>3853.9</v>
      </c>
      <c r="G50" s="19">
        <f t="shared" ref="G50" si="303">E50-F50</f>
        <v>50.199999999999818</v>
      </c>
      <c r="H50" s="91">
        <f t="shared" si="90"/>
        <v>1</v>
      </c>
      <c r="I50" s="19">
        <f t="shared" ref="I50" si="304">G50*H50</f>
        <v>50.199999999999818</v>
      </c>
      <c r="J50" s="12">
        <v>5422.3</v>
      </c>
      <c r="K50" s="17">
        <f t="shared" ref="K50" si="305">J49</f>
        <v>5290.7</v>
      </c>
      <c r="L50" s="19">
        <f t="shared" ref="L50" si="306">J50-K50</f>
        <v>131.60000000000036</v>
      </c>
      <c r="M50" s="17">
        <f t="shared" si="94"/>
        <v>1</v>
      </c>
      <c r="N50" s="19">
        <f t="shared" ref="N50" si="307">L50*M50</f>
        <v>131.60000000000036</v>
      </c>
      <c r="O50" s="17">
        <f t="shared" ref="O50" si="308">N50-I50</f>
        <v>81.400000000000546</v>
      </c>
      <c r="P50" s="12">
        <v>8197</v>
      </c>
      <c r="Q50" s="17">
        <f t="shared" ref="Q50" si="309">P49</f>
        <v>8035</v>
      </c>
      <c r="R50" s="19">
        <f t="shared" ref="R50" si="310">P50-Q50</f>
        <v>162</v>
      </c>
      <c r="S50" s="17">
        <f t="shared" si="99"/>
        <v>1</v>
      </c>
      <c r="T50" s="19">
        <f t="shared" ref="T50" si="311">R50*S50</f>
        <v>162</v>
      </c>
      <c r="U50" s="19">
        <v>1.26</v>
      </c>
      <c r="V50" s="19">
        <v>0.96</v>
      </c>
      <c r="W50" s="25"/>
    </row>
    <row r="51" spans="1:23" ht="15.75" x14ac:dyDescent="0.25">
      <c r="A51" s="12">
        <v>42</v>
      </c>
      <c r="B51" s="22" t="s">
        <v>300</v>
      </c>
      <c r="C51" s="19" t="s">
        <v>124</v>
      </c>
      <c r="D51" s="19" t="s">
        <v>124</v>
      </c>
      <c r="E51" s="12">
        <v>3960.5</v>
      </c>
      <c r="F51" s="17">
        <f t="shared" ref="F51:F54" si="312">E50</f>
        <v>3904.1</v>
      </c>
      <c r="G51" s="19">
        <f t="shared" ref="G51:G54" si="313">E51-F51</f>
        <v>56.400000000000091</v>
      </c>
      <c r="H51" s="91">
        <f t="shared" si="90"/>
        <v>1</v>
      </c>
      <c r="I51" s="19">
        <f t="shared" ref="I51:I54" si="314">G51*H51</f>
        <v>56.400000000000091</v>
      </c>
      <c r="J51" s="12">
        <v>5524.5</v>
      </c>
      <c r="K51" s="17">
        <f t="shared" ref="K51:K54" si="315">J50</f>
        <v>5422.3</v>
      </c>
      <c r="L51" s="19">
        <f t="shared" ref="L51:L54" si="316">J51-K51</f>
        <v>102.19999999999982</v>
      </c>
      <c r="M51" s="17">
        <f t="shared" si="94"/>
        <v>1</v>
      </c>
      <c r="N51" s="19">
        <f t="shared" ref="N51:N54" si="317">L51*M51</f>
        <v>102.19999999999982</v>
      </c>
      <c r="O51" s="17">
        <f t="shared" ref="O51:O54" si="318">N51-I51</f>
        <v>45.799999999999727</v>
      </c>
      <c r="P51" s="12">
        <v>8318</v>
      </c>
      <c r="Q51" s="17">
        <f t="shared" ref="Q51:Q54" si="319">P50</f>
        <v>8197</v>
      </c>
      <c r="R51" s="19">
        <f t="shared" ref="R51:R54" si="320">P51-Q51</f>
        <v>121</v>
      </c>
      <c r="S51" s="17">
        <f t="shared" si="99"/>
        <v>1</v>
      </c>
      <c r="T51" s="19">
        <f t="shared" ref="T51:T54" si="321">R51*S51</f>
        <v>121</v>
      </c>
      <c r="U51" s="19">
        <v>1.17</v>
      </c>
      <c r="V51" s="19">
        <v>0.93</v>
      </c>
      <c r="W51" s="25"/>
    </row>
    <row r="52" spans="1:23" ht="15.75" x14ac:dyDescent="0.25">
      <c r="A52" s="105">
        <v>43</v>
      </c>
      <c r="B52" s="22" t="s">
        <v>301</v>
      </c>
      <c r="C52" s="111" t="s">
        <v>124</v>
      </c>
      <c r="D52" s="111" t="s">
        <v>124</v>
      </c>
      <c r="E52" s="105">
        <v>4023.5</v>
      </c>
      <c r="F52" s="106">
        <f t="shared" si="312"/>
        <v>3960.5</v>
      </c>
      <c r="G52" s="111">
        <f t="shared" si="313"/>
        <v>63</v>
      </c>
      <c r="H52" s="91">
        <f t="shared" si="90"/>
        <v>1</v>
      </c>
      <c r="I52" s="111">
        <f t="shared" si="314"/>
        <v>63</v>
      </c>
      <c r="J52" s="105">
        <v>5603.9</v>
      </c>
      <c r="K52" s="106">
        <f t="shared" si="315"/>
        <v>5524.5</v>
      </c>
      <c r="L52" s="111">
        <f t="shared" si="316"/>
        <v>79.399999999999636</v>
      </c>
      <c r="M52" s="106">
        <f t="shared" si="94"/>
        <v>1</v>
      </c>
      <c r="N52" s="111">
        <f t="shared" si="317"/>
        <v>79.399999999999636</v>
      </c>
      <c r="O52" s="106">
        <f t="shared" si="318"/>
        <v>16.399999999999636</v>
      </c>
      <c r="P52" s="105">
        <v>8423</v>
      </c>
      <c r="Q52" s="106">
        <f t="shared" si="319"/>
        <v>8318</v>
      </c>
      <c r="R52" s="111">
        <f t="shared" si="320"/>
        <v>105</v>
      </c>
      <c r="S52" s="106">
        <f t="shared" si="99"/>
        <v>1</v>
      </c>
      <c r="T52" s="111">
        <f t="shared" si="321"/>
        <v>105</v>
      </c>
      <c r="U52" s="111">
        <v>1.8</v>
      </c>
      <c r="V52" s="111">
        <v>0.92</v>
      </c>
      <c r="W52" s="25"/>
    </row>
    <row r="53" spans="1:23" ht="15.75" x14ac:dyDescent="0.25">
      <c r="A53" s="105">
        <v>44</v>
      </c>
      <c r="B53" s="22" t="s">
        <v>302</v>
      </c>
      <c r="C53" s="111" t="s">
        <v>124</v>
      </c>
      <c r="D53" s="111" t="s">
        <v>124</v>
      </c>
      <c r="E53" s="105">
        <v>4083.4</v>
      </c>
      <c r="F53" s="106">
        <f t="shared" si="312"/>
        <v>4023.5</v>
      </c>
      <c r="G53" s="111">
        <f t="shared" si="313"/>
        <v>59.900000000000091</v>
      </c>
      <c r="H53" s="91">
        <f t="shared" si="90"/>
        <v>1</v>
      </c>
      <c r="I53" s="111">
        <f t="shared" si="314"/>
        <v>59.900000000000091</v>
      </c>
      <c r="J53" s="105">
        <v>5688.7</v>
      </c>
      <c r="K53" s="106">
        <f t="shared" si="315"/>
        <v>5603.9</v>
      </c>
      <c r="L53" s="111">
        <f t="shared" si="316"/>
        <v>84.800000000000182</v>
      </c>
      <c r="M53" s="106">
        <f t="shared" si="94"/>
        <v>1</v>
      </c>
      <c r="N53" s="111">
        <f t="shared" si="317"/>
        <v>84.800000000000182</v>
      </c>
      <c r="O53" s="106">
        <f t="shared" si="318"/>
        <v>24.900000000000091</v>
      </c>
      <c r="P53" s="105">
        <v>8532</v>
      </c>
      <c r="Q53" s="106">
        <f t="shared" si="319"/>
        <v>8423</v>
      </c>
      <c r="R53" s="111">
        <f t="shared" si="320"/>
        <v>109</v>
      </c>
      <c r="S53" s="106">
        <f t="shared" si="99"/>
        <v>1</v>
      </c>
      <c r="T53" s="111">
        <f t="shared" si="321"/>
        <v>109</v>
      </c>
      <c r="U53" s="111"/>
      <c r="V53" s="111"/>
      <c r="W53" s="25"/>
    </row>
    <row r="54" spans="1:23" ht="15.75" x14ac:dyDescent="0.25">
      <c r="A54" s="105">
        <v>45</v>
      </c>
      <c r="B54" s="22" t="s">
        <v>303</v>
      </c>
      <c r="C54" s="111" t="s">
        <v>124</v>
      </c>
      <c r="D54" s="111" t="s">
        <v>124</v>
      </c>
      <c r="E54" s="105">
        <v>4148</v>
      </c>
      <c r="F54" s="106">
        <f t="shared" si="312"/>
        <v>4083.4</v>
      </c>
      <c r="G54" s="111">
        <f t="shared" si="313"/>
        <v>64.599999999999909</v>
      </c>
      <c r="H54" s="91">
        <f t="shared" si="90"/>
        <v>1</v>
      </c>
      <c r="I54" s="111">
        <f t="shared" si="314"/>
        <v>64.599999999999909</v>
      </c>
      <c r="J54" s="105">
        <v>5782.1</v>
      </c>
      <c r="K54" s="106">
        <f t="shared" si="315"/>
        <v>5688.7</v>
      </c>
      <c r="L54" s="111">
        <f t="shared" si="316"/>
        <v>93.400000000000546</v>
      </c>
      <c r="M54" s="106">
        <f t="shared" si="94"/>
        <v>1</v>
      </c>
      <c r="N54" s="111">
        <f t="shared" si="317"/>
        <v>93.400000000000546</v>
      </c>
      <c r="O54" s="106">
        <f t="shared" si="318"/>
        <v>28.800000000000637</v>
      </c>
      <c r="P54" s="105">
        <v>8647</v>
      </c>
      <c r="Q54" s="106">
        <f t="shared" si="319"/>
        <v>8532</v>
      </c>
      <c r="R54" s="111">
        <f t="shared" si="320"/>
        <v>115</v>
      </c>
      <c r="S54" s="106">
        <f t="shared" si="99"/>
        <v>1</v>
      </c>
      <c r="T54" s="111">
        <f t="shared" si="321"/>
        <v>115</v>
      </c>
      <c r="U54" s="111">
        <v>2.0299999999999998</v>
      </c>
      <c r="V54" s="111">
        <v>0.97</v>
      </c>
      <c r="W54" s="25"/>
    </row>
    <row r="55" spans="1:23" ht="15.75" x14ac:dyDescent="0.25">
      <c r="A55" s="120">
        <v>46</v>
      </c>
      <c r="B55" s="116" t="s">
        <v>305</v>
      </c>
      <c r="C55" s="118" t="s">
        <v>124</v>
      </c>
      <c r="D55" s="138" t="s">
        <v>124</v>
      </c>
      <c r="E55" s="135">
        <v>4213.5</v>
      </c>
      <c r="F55" s="136">
        <f t="shared" ref="F55" si="322">E54</f>
        <v>4148</v>
      </c>
      <c r="G55" s="138">
        <f t="shared" ref="G55" si="323">E55-F55</f>
        <v>65.5</v>
      </c>
      <c r="H55" s="91">
        <f t="shared" si="90"/>
        <v>1</v>
      </c>
      <c r="I55" s="138">
        <f t="shared" ref="I55" si="324">G55*H55</f>
        <v>65.5</v>
      </c>
      <c r="J55" s="135">
        <v>5944.1</v>
      </c>
      <c r="K55" s="136">
        <f t="shared" ref="K55" si="325">J54</f>
        <v>5782.1</v>
      </c>
      <c r="L55" s="138">
        <f t="shared" ref="L55" si="326">J55-K55</f>
        <v>162</v>
      </c>
      <c r="M55" s="136">
        <f t="shared" si="94"/>
        <v>1</v>
      </c>
      <c r="N55" s="138">
        <f t="shared" ref="N55" si="327">L55*M55</f>
        <v>162</v>
      </c>
      <c r="O55" s="136">
        <f t="shared" ref="O55" si="328">N55-I55</f>
        <v>96.5</v>
      </c>
      <c r="P55" s="135">
        <v>8852</v>
      </c>
      <c r="Q55" s="136">
        <f t="shared" ref="Q55" si="329">P54</f>
        <v>8647</v>
      </c>
      <c r="R55" s="138">
        <f t="shared" ref="R55" si="330">P55-Q55</f>
        <v>205</v>
      </c>
      <c r="S55" s="136">
        <f t="shared" si="99"/>
        <v>1</v>
      </c>
      <c r="T55" s="138">
        <f t="shared" ref="T55" si="331">R55*S55</f>
        <v>205</v>
      </c>
      <c r="U55" s="138">
        <v>1.92</v>
      </c>
      <c r="V55" s="138">
        <v>0.99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124</v>
      </c>
      <c r="D57" s="138" t="s">
        <v>124</v>
      </c>
      <c r="E57" s="135">
        <v>4290.6000000000004</v>
      </c>
      <c r="F57" s="136">
        <f t="shared" ref="F57" si="332">E55</f>
        <v>4213.5</v>
      </c>
      <c r="G57" s="138">
        <f t="shared" ref="G57" si="333">E57-F57</f>
        <v>77.100000000000364</v>
      </c>
      <c r="H57" s="91">
        <f>H55</f>
        <v>1</v>
      </c>
      <c r="I57" s="138">
        <f t="shared" ref="I57" si="334">G57*H57</f>
        <v>77.100000000000364</v>
      </c>
      <c r="J57" s="135">
        <v>6159.3</v>
      </c>
      <c r="K57" s="136">
        <f t="shared" ref="K57" si="335">J55</f>
        <v>5944.1</v>
      </c>
      <c r="L57" s="138">
        <f t="shared" ref="L57" si="336">J57-K57</f>
        <v>215.19999999999982</v>
      </c>
      <c r="M57" s="136">
        <f>M55</f>
        <v>1</v>
      </c>
      <c r="N57" s="138">
        <f t="shared" ref="N57" si="337">L57*M57</f>
        <v>215.19999999999982</v>
      </c>
      <c r="O57" s="136">
        <f t="shared" ref="O57" si="338">N57-I57</f>
        <v>138.09999999999945</v>
      </c>
      <c r="P57" s="135">
        <v>9093</v>
      </c>
      <c r="Q57" s="136">
        <f t="shared" ref="Q57" si="339">P55</f>
        <v>8852</v>
      </c>
      <c r="R57" s="138">
        <f t="shared" ref="R57" si="340">P57-Q57</f>
        <v>241</v>
      </c>
      <c r="S57" s="136">
        <f>S55</f>
        <v>1</v>
      </c>
      <c r="T57" s="138">
        <f t="shared" ref="T57" si="341">R57*S57</f>
        <v>241</v>
      </c>
      <c r="U57" s="138">
        <v>1.81</v>
      </c>
      <c r="V57" s="138">
        <v>0.99</v>
      </c>
      <c r="W57" s="25"/>
    </row>
    <row r="58" spans="1:23" ht="15.75" x14ac:dyDescent="0.25">
      <c r="A58" s="126">
        <v>48</v>
      </c>
      <c r="B58" s="116" t="s">
        <v>307</v>
      </c>
      <c r="C58" s="129" t="s">
        <v>124</v>
      </c>
      <c r="D58" s="138" t="s">
        <v>124</v>
      </c>
      <c r="E58" s="135">
        <v>4365.1000000000004</v>
      </c>
      <c r="F58" s="136">
        <f t="shared" ref="F58" si="342">E57</f>
        <v>4290.6000000000004</v>
      </c>
      <c r="G58" s="138">
        <f t="shared" ref="G58" si="343">E58-F58</f>
        <v>74.5</v>
      </c>
      <c r="H58" s="91">
        <f t="shared" si="90"/>
        <v>1</v>
      </c>
      <c r="I58" s="138">
        <f t="shared" ref="I58" si="344">G58*H58</f>
        <v>74.5</v>
      </c>
      <c r="J58" s="135">
        <v>6368.9</v>
      </c>
      <c r="K58" s="136">
        <f t="shared" ref="K58" si="345">J57</f>
        <v>6159.3</v>
      </c>
      <c r="L58" s="138">
        <f t="shared" ref="L58" si="346">J58-K58</f>
        <v>209.59999999999945</v>
      </c>
      <c r="M58" s="136">
        <f t="shared" si="94"/>
        <v>1</v>
      </c>
      <c r="N58" s="138">
        <f t="shared" ref="N58" si="347">L58*M58</f>
        <v>209.59999999999945</v>
      </c>
      <c r="O58" s="136">
        <f t="shared" ref="O58" si="348">N58-I58</f>
        <v>135.09999999999945</v>
      </c>
      <c r="P58" s="135">
        <v>9335</v>
      </c>
      <c r="Q58" s="136">
        <f t="shared" ref="Q58" si="349">P57</f>
        <v>9093</v>
      </c>
      <c r="R58" s="138">
        <f t="shared" ref="R58" si="350">P58-Q58</f>
        <v>242</v>
      </c>
      <c r="S58" s="136">
        <f t="shared" si="99"/>
        <v>1</v>
      </c>
      <c r="T58" s="138">
        <f t="shared" ref="T58" si="351">R58*S58</f>
        <v>242</v>
      </c>
      <c r="U58" s="138">
        <v>1.4</v>
      </c>
      <c r="V58" s="138">
        <v>0.99</v>
      </c>
      <c r="W58" s="25"/>
    </row>
    <row r="59" spans="1:23" ht="15.75" x14ac:dyDescent="0.25">
      <c r="A59" s="135">
        <v>49</v>
      </c>
      <c r="B59" s="116" t="s">
        <v>309</v>
      </c>
      <c r="C59" s="138" t="s">
        <v>124</v>
      </c>
      <c r="D59" s="138" t="s">
        <v>124</v>
      </c>
      <c r="E59" s="135">
        <v>4439.8999999999996</v>
      </c>
      <c r="F59" s="136">
        <f t="shared" ref="F59" si="352">E58</f>
        <v>4365.1000000000004</v>
      </c>
      <c r="G59" s="138">
        <f t="shared" ref="G59:G61" si="353">E59-F59</f>
        <v>74.799999999999272</v>
      </c>
      <c r="H59" s="91">
        <f t="shared" si="90"/>
        <v>1</v>
      </c>
      <c r="I59" s="138">
        <f t="shared" ref="I59:I61" si="354">G59*H59</f>
        <v>74.799999999999272</v>
      </c>
      <c r="J59" s="135">
        <v>6535.9</v>
      </c>
      <c r="K59" s="136">
        <f t="shared" ref="K59" si="355">J58</f>
        <v>6368.9</v>
      </c>
      <c r="L59" s="138">
        <f t="shared" ref="L59:L61" si="356">J59-K59</f>
        <v>167</v>
      </c>
      <c r="M59" s="136">
        <f t="shared" si="94"/>
        <v>1</v>
      </c>
      <c r="N59" s="138">
        <f t="shared" ref="N59:N61" si="357">L59*M59</f>
        <v>167</v>
      </c>
      <c r="O59" s="136">
        <f t="shared" ref="O59:O61" si="358">N59-I59</f>
        <v>92.200000000000728</v>
      </c>
      <c r="P59" s="135">
        <f>P58+171</f>
        <v>9506</v>
      </c>
      <c r="Q59" s="136">
        <f t="shared" ref="Q59" si="359">P58</f>
        <v>9335</v>
      </c>
      <c r="R59" s="138">
        <f t="shared" ref="R59:R61" si="360">P59-Q59</f>
        <v>171</v>
      </c>
      <c r="S59" s="136">
        <f t="shared" si="99"/>
        <v>1</v>
      </c>
      <c r="T59" s="138">
        <f t="shared" ref="T59:T61" si="361">R59*S59</f>
        <v>171</v>
      </c>
      <c r="U59" s="138">
        <v>1.6</v>
      </c>
      <c r="V59" s="138">
        <v>0.93</v>
      </c>
      <c r="W59" s="25"/>
    </row>
    <row r="60" spans="1:23" ht="15.75" x14ac:dyDescent="0.25">
      <c r="A60" s="146">
        <v>50</v>
      </c>
      <c r="B60" s="116" t="s">
        <v>310</v>
      </c>
      <c r="C60" s="144" t="s">
        <v>124</v>
      </c>
      <c r="D60" s="144" t="s">
        <v>124</v>
      </c>
      <c r="E60" s="146">
        <v>4515.8999999999996</v>
      </c>
      <c r="F60" s="145">
        <f t="shared" ref="F60" si="362">E58</f>
        <v>4365.1000000000004</v>
      </c>
      <c r="G60" s="144">
        <f t="shared" si="353"/>
        <v>150.79999999999927</v>
      </c>
      <c r="H60" s="91">
        <f>H58</f>
        <v>1</v>
      </c>
      <c r="I60" s="144">
        <f t="shared" si="354"/>
        <v>150.79999999999927</v>
      </c>
      <c r="J60" s="146">
        <v>6664.8</v>
      </c>
      <c r="K60" s="145">
        <f t="shared" ref="K60" si="363">J58</f>
        <v>6368.9</v>
      </c>
      <c r="L60" s="144">
        <f t="shared" si="356"/>
        <v>295.90000000000055</v>
      </c>
      <c r="M60" s="145">
        <f>M58</f>
        <v>1</v>
      </c>
      <c r="N60" s="144">
        <f t="shared" si="357"/>
        <v>295.90000000000055</v>
      </c>
      <c r="O60" s="145">
        <f t="shared" si="358"/>
        <v>145.10000000000127</v>
      </c>
      <c r="P60" s="146">
        <v>9687</v>
      </c>
      <c r="Q60" s="145">
        <f t="shared" ref="Q60" si="364">P58</f>
        <v>9335</v>
      </c>
      <c r="R60" s="144">
        <f t="shared" si="360"/>
        <v>352</v>
      </c>
      <c r="S60" s="145">
        <f>S58</f>
        <v>1</v>
      </c>
      <c r="T60" s="144">
        <f t="shared" si="361"/>
        <v>352</v>
      </c>
      <c r="U60" s="144">
        <v>1.92</v>
      </c>
      <c r="V60" s="144">
        <v>0.99</v>
      </c>
      <c r="W60" s="25"/>
    </row>
    <row r="61" spans="1:23" ht="15.75" x14ac:dyDescent="0.25">
      <c r="A61" s="151">
        <v>51</v>
      </c>
      <c r="B61" s="116" t="s">
        <v>316</v>
      </c>
      <c r="C61" s="149" t="s">
        <v>124</v>
      </c>
      <c r="D61" s="149" t="s">
        <v>124</v>
      </c>
      <c r="E61" s="151">
        <v>4578.3999999999996</v>
      </c>
      <c r="F61" s="150">
        <v>4515.8999999999996</v>
      </c>
      <c r="G61" s="149">
        <f t="shared" si="353"/>
        <v>62.5</v>
      </c>
      <c r="H61" s="91">
        <f>H58</f>
        <v>1</v>
      </c>
      <c r="I61" s="149">
        <f t="shared" si="354"/>
        <v>62.5</v>
      </c>
      <c r="J61" s="151">
        <v>6896.2</v>
      </c>
      <c r="K61" s="150">
        <v>6664.8</v>
      </c>
      <c r="L61" s="149">
        <f t="shared" si="356"/>
        <v>231.39999999999964</v>
      </c>
      <c r="M61" s="150">
        <f>M58</f>
        <v>1</v>
      </c>
      <c r="N61" s="149">
        <f t="shared" si="357"/>
        <v>231.39999999999964</v>
      </c>
      <c r="O61" s="150">
        <f t="shared" si="358"/>
        <v>168.89999999999964</v>
      </c>
      <c r="P61" s="151">
        <v>9947</v>
      </c>
      <c r="Q61" s="150">
        <v>9687</v>
      </c>
      <c r="R61" s="149">
        <f t="shared" si="360"/>
        <v>260</v>
      </c>
      <c r="S61" s="150">
        <f>S58</f>
        <v>1</v>
      </c>
      <c r="T61" s="149">
        <f t="shared" si="361"/>
        <v>260</v>
      </c>
      <c r="U61" s="149">
        <v>1.61</v>
      </c>
      <c r="V61" s="149">
        <v>0.87</v>
      </c>
      <c r="W61" s="25"/>
    </row>
    <row r="62" spans="1:23" ht="15.75" x14ac:dyDescent="0.25">
      <c r="A62" s="155">
        <v>52</v>
      </c>
      <c r="B62" s="116" t="s">
        <v>319</v>
      </c>
      <c r="C62" s="142" t="s">
        <v>124</v>
      </c>
      <c r="D62" s="142" t="s">
        <v>124</v>
      </c>
      <c r="E62" s="139">
        <v>4656.3</v>
      </c>
      <c r="F62" s="140">
        <v>4578.3999999999996</v>
      </c>
      <c r="G62" s="142">
        <f t="shared" ref="G62:G64" si="365">E62-F62</f>
        <v>77.900000000000546</v>
      </c>
      <c r="H62" s="91">
        <f>H59</f>
        <v>1</v>
      </c>
      <c r="I62" s="142">
        <f t="shared" ref="I62:I64" si="366">G62*H62</f>
        <v>77.900000000000546</v>
      </c>
      <c r="J62" s="139">
        <v>7062.1</v>
      </c>
      <c r="K62" s="140">
        <v>6896.2</v>
      </c>
      <c r="L62" s="142">
        <f t="shared" ref="L62:L64" si="367">J62-K62</f>
        <v>165.90000000000055</v>
      </c>
      <c r="M62" s="140">
        <f>M59</f>
        <v>1</v>
      </c>
      <c r="N62" s="142">
        <f t="shared" ref="N62:N64" si="368">L62*M62</f>
        <v>165.90000000000055</v>
      </c>
      <c r="O62" s="140">
        <f t="shared" ref="O62:O64" si="369">N62-I62</f>
        <v>88</v>
      </c>
      <c r="P62" s="139">
        <v>10163</v>
      </c>
      <c r="Q62" s="140">
        <v>9947</v>
      </c>
      <c r="R62" s="142">
        <f t="shared" ref="R62:R64" si="370">P62-Q62</f>
        <v>216</v>
      </c>
      <c r="S62" s="140">
        <f>S59</f>
        <v>1</v>
      </c>
      <c r="T62" s="142">
        <f t="shared" ref="T62:T64" si="371">R62*S62</f>
        <v>216</v>
      </c>
      <c r="U62" s="142">
        <v>1.61</v>
      </c>
      <c r="V62" s="142">
        <v>0.87</v>
      </c>
      <c r="W62" s="25"/>
    </row>
    <row r="63" spans="1:23" ht="15.75" x14ac:dyDescent="0.25">
      <c r="A63" s="170">
        <v>53</v>
      </c>
      <c r="B63" s="116" t="s">
        <v>321</v>
      </c>
      <c r="C63" s="168" t="s">
        <v>124</v>
      </c>
      <c r="D63" s="168" t="s">
        <v>124</v>
      </c>
      <c r="E63" s="170">
        <v>4727.6000000000004</v>
      </c>
      <c r="F63" s="170">
        <v>4656.3</v>
      </c>
      <c r="G63" s="168">
        <f t="shared" si="365"/>
        <v>71.300000000000182</v>
      </c>
      <c r="H63" s="91">
        <f>H59</f>
        <v>1</v>
      </c>
      <c r="I63" s="168">
        <f t="shared" si="366"/>
        <v>71.300000000000182</v>
      </c>
      <c r="J63" s="170">
        <v>7187.6</v>
      </c>
      <c r="K63" s="170">
        <v>7062.1</v>
      </c>
      <c r="L63" s="168">
        <f t="shared" si="367"/>
        <v>125.5</v>
      </c>
      <c r="M63" s="169">
        <f>M59</f>
        <v>1</v>
      </c>
      <c r="N63" s="168">
        <f t="shared" si="368"/>
        <v>125.5</v>
      </c>
      <c r="O63" s="169">
        <f t="shared" si="369"/>
        <v>54.199999999999818</v>
      </c>
      <c r="P63" s="170">
        <v>10313</v>
      </c>
      <c r="Q63" s="170">
        <v>10163</v>
      </c>
      <c r="R63" s="168">
        <f t="shared" si="370"/>
        <v>150</v>
      </c>
      <c r="S63" s="169">
        <f>S59</f>
        <v>1</v>
      </c>
      <c r="T63" s="168">
        <f t="shared" si="371"/>
        <v>150</v>
      </c>
      <c r="U63" s="168">
        <v>1.29</v>
      </c>
      <c r="V63" s="168">
        <v>0.67</v>
      </c>
      <c r="W63" s="25"/>
    </row>
    <row r="64" spans="1:23" ht="15.75" x14ac:dyDescent="0.25">
      <c r="A64" s="175">
        <v>54</v>
      </c>
      <c r="B64" s="116" t="s">
        <v>327</v>
      </c>
      <c r="C64" s="178" t="s">
        <v>124</v>
      </c>
      <c r="D64" s="178" t="s">
        <v>124</v>
      </c>
      <c r="E64" s="175">
        <v>4806.3999999999996</v>
      </c>
      <c r="F64" s="175">
        <v>4727.6000000000004</v>
      </c>
      <c r="G64" s="178">
        <f t="shared" si="365"/>
        <v>78.799999999999272</v>
      </c>
      <c r="H64" s="91">
        <f>H59</f>
        <v>1</v>
      </c>
      <c r="I64" s="178">
        <f t="shared" si="366"/>
        <v>78.799999999999272</v>
      </c>
      <c r="J64" s="175">
        <v>7267.1</v>
      </c>
      <c r="K64" s="175">
        <v>7187.6</v>
      </c>
      <c r="L64" s="178">
        <f t="shared" si="367"/>
        <v>79.5</v>
      </c>
      <c r="M64" s="176">
        <f>M59</f>
        <v>1</v>
      </c>
      <c r="N64" s="178">
        <f t="shared" si="368"/>
        <v>79.5</v>
      </c>
      <c r="O64" s="176">
        <f t="shared" si="369"/>
        <v>0.7000000000007276</v>
      </c>
      <c r="P64" s="175">
        <v>10433</v>
      </c>
      <c r="Q64" s="175">
        <v>10313</v>
      </c>
      <c r="R64" s="178">
        <f t="shared" si="370"/>
        <v>120</v>
      </c>
      <c r="S64" s="176">
        <f>S59</f>
        <v>1</v>
      </c>
      <c r="T64" s="178">
        <f t="shared" si="371"/>
        <v>120</v>
      </c>
      <c r="U64" s="178">
        <v>1.27</v>
      </c>
      <c r="V64" s="178">
        <v>0.92</v>
      </c>
      <c r="W64" s="25"/>
    </row>
    <row r="65" spans="1:23" ht="15.75" x14ac:dyDescent="0.25">
      <c r="A65" s="155">
        <v>54</v>
      </c>
      <c r="B65" s="116" t="s">
        <v>330</v>
      </c>
      <c r="C65" s="158" t="s">
        <v>124</v>
      </c>
      <c r="D65" s="158" t="s">
        <v>124</v>
      </c>
      <c r="E65" s="155">
        <v>4884.7</v>
      </c>
      <c r="F65" s="175">
        <v>4806.3999999999996</v>
      </c>
      <c r="G65" s="158">
        <f t="shared" ref="G65:G66" si="372">E65-F65</f>
        <v>78.300000000000182</v>
      </c>
      <c r="H65" s="91">
        <f>H60</f>
        <v>1</v>
      </c>
      <c r="I65" s="158">
        <f t="shared" ref="I65:I66" si="373">G65*H65</f>
        <v>78.300000000000182</v>
      </c>
      <c r="J65" s="155">
        <v>7339.3</v>
      </c>
      <c r="K65" s="175">
        <v>7267.1</v>
      </c>
      <c r="L65" s="158">
        <f t="shared" ref="L65:L66" si="374">J65-K65</f>
        <v>72.199999999999818</v>
      </c>
      <c r="M65" s="156">
        <f>M60</f>
        <v>1</v>
      </c>
      <c r="N65" s="158">
        <f t="shared" ref="N65:N66" si="375">L65*M65</f>
        <v>72.199999999999818</v>
      </c>
      <c r="O65" s="156">
        <f t="shared" ref="O65:O66" si="376">N65-I65</f>
        <v>-6.1000000000003638</v>
      </c>
      <c r="P65" s="155">
        <v>10533</v>
      </c>
      <c r="Q65" s="175">
        <v>10433</v>
      </c>
      <c r="R65" s="158">
        <f t="shared" ref="R65:R66" si="377">P65-Q65</f>
        <v>100</v>
      </c>
      <c r="S65" s="156">
        <f>S60</f>
        <v>1</v>
      </c>
      <c r="T65" s="158">
        <f t="shared" ref="T65:T66" si="378">R65*S65</f>
        <v>100</v>
      </c>
      <c r="U65" s="158">
        <v>1.52</v>
      </c>
      <c r="V65" s="158">
        <v>0.94</v>
      </c>
      <c r="W65" s="25"/>
    </row>
    <row r="66" spans="1:23" ht="15.75" x14ac:dyDescent="0.25">
      <c r="A66" s="183">
        <v>54</v>
      </c>
      <c r="B66" s="116" t="s">
        <v>331</v>
      </c>
      <c r="C66" s="186" t="s">
        <v>124</v>
      </c>
      <c r="D66" s="186" t="s">
        <v>124</v>
      </c>
      <c r="E66" s="183">
        <v>4955.3</v>
      </c>
      <c r="F66" s="183">
        <v>4884.7</v>
      </c>
      <c r="G66" s="186">
        <f t="shared" si="372"/>
        <v>70.600000000000364</v>
      </c>
      <c r="H66" s="91">
        <f>H60</f>
        <v>1</v>
      </c>
      <c r="I66" s="186">
        <f t="shared" si="373"/>
        <v>70.600000000000364</v>
      </c>
      <c r="J66" s="183">
        <v>7410.3</v>
      </c>
      <c r="K66" s="183">
        <v>7339.3</v>
      </c>
      <c r="L66" s="186">
        <f t="shared" si="374"/>
        <v>71</v>
      </c>
      <c r="M66" s="184">
        <f>M60</f>
        <v>1</v>
      </c>
      <c r="N66" s="186">
        <f t="shared" si="375"/>
        <v>71</v>
      </c>
      <c r="O66" s="184">
        <f t="shared" si="376"/>
        <v>0.3999999999996362</v>
      </c>
      <c r="P66" s="183">
        <v>10577</v>
      </c>
      <c r="Q66" s="183">
        <v>10533</v>
      </c>
      <c r="R66" s="186">
        <f t="shared" si="377"/>
        <v>44</v>
      </c>
      <c r="S66" s="184">
        <f>S60</f>
        <v>1</v>
      </c>
      <c r="T66" s="186">
        <f t="shared" si="378"/>
        <v>44</v>
      </c>
      <c r="U66" s="186">
        <v>1.39</v>
      </c>
      <c r="V66" s="186">
        <v>0.34</v>
      </c>
      <c r="W66" s="25"/>
    </row>
    <row r="67" spans="1:23" ht="15.75" x14ac:dyDescent="0.25">
      <c r="A67" s="182">
        <v>54</v>
      </c>
      <c r="B67" s="116" t="s">
        <v>332</v>
      </c>
      <c r="C67" s="180" t="s">
        <v>124</v>
      </c>
      <c r="D67" s="180" t="s">
        <v>124</v>
      </c>
      <c r="E67" s="182">
        <v>5017</v>
      </c>
      <c r="F67" s="182">
        <v>4955.3</v>
      </c>
      <c r="G67" s="180">
        <f t="shared" ref="G67" si="379">E67-F67</f>
        <v>61.699999999999818</v>
      </c>
      <c r="H67" s="91">
        <f>H61</f>
        <v>1</v>
      </c>
      <c r="I67" s="180">
        <f t="shared" ref="I67" si="380">G67*H67</f>
        <v>61.699999999999818</v>
      </c>
      <c r="J67" s="182">
        <v>7482.1</v>
      </c>
      <c r="K67" s="182">
        <v>7410.3</v>
      </c>
      <c r="L67" s="180">
        <f t="shared" ref="L67" si="381">J67-K67</f>
        <v>71.800000000000182</v>
      </c>
      <c r="M67" s="181">
        <f>M61</f>
        <v>1</v>
      </c>
      <c r="N67" s="180">
        <f t="shared" ref="N67" si="382">L67*M67</f>
        <v>71.800000000000182</v>
      </c>
      <c r="O67" s="181">
        <f t="shared" ref="O67" si="383">N67-I67</f>
        <v>10.100000000000364</v>
      </c>
      <c r="P67" s="182">
        <v>10734</v>
      </c>
      <c r="Q67" s="182">
        <v>10577</v>
      </c>
      <c r="R67" s="180">
        <f t="shared" ref="R67" si="384">P67-Q67</f>
        <v>157</v>
      </c>
      <c r="S67" s="181">
        <f>S61</f>
        <v>1</v>
      </c>
      <c r="T67" s="180">
        <f t="shared" ref="T67" si="385">R67*S67</f>
        <v>157</v>
      </c>
      <c r="U67" s="180">
        <v>1.46</v>
      </c>
      <c r="V67" s="180">
        <v>0.99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4"/>
      <c r="H68" s="22" t="s">
        <v>121</v>
      </c>
      <c r="I68" s="164">
        <f>SUM(I57:I65)</f>
        <v>745.99999999999909</v>
      </c>
      <c r="J68" s="164"/>
      <c r="K68" s="162"/>
      <c r="L68" s="164"/>
      <c r="M68" s="162"/>
      <c r="N68" s="164">
        <f>SUM(N57:N65)</f>
        <v>1562.1999999999998</v>
      </c>
      <c r="O68" s="164">
        <f>SUM(O57:O65)</f>
        <v>816.20000000000073</v>
      </c>
      <c r="P68" s="164"/>
      <c r="Q68" s="162"/>
      <c r="R68" s="164"/>
      <c r="S68" s="162"/>
      <c r="T68" s="164">
        <f>SUM(T57:T65)</f>
        <v>1852</v>
      </c>
      <c r="U68" s="164"/>
      <c r="V68" s="164"/>
      <c r="W68" s="31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38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38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38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24"/>
      <c r="V71" s="24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38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24"/>
      <c r="V72" s="24"/>
      <c r="W72" s="25"/>
    </row>
    <row r="73" spans="1:23" ht="15.75" x14ac:dyDescent="0.25">
      <c r="A73" s="37"/>
      <c r="B73" s="78"/>
      <c r="C73" s="24"/>
      <c r="D73" s="24"/>
      <c r="E73" s="37"/>
      <c r="F73" s="38"/>
      <c r="G73" s="24"/>
      <c r="H73" s="38"/>
      <c r="I73" s="24"/>
      <c r="J73" s="37"/>
      <c r="K73" s="38"/>
      <c r="L73" s="24"/>
      <c r="M73" s="38"/>
      <c r="N73" s="24"/>
      <c r="O73" s="38"/>
      <c r="P73" s="37"/>
      <c r="Q73" s="38"/>
      <c r="R73" s="24"/>
      <c r="S73" s="38"/>
      <c r="T73" s="24"/>
      <c r="U73" s="24"/>
      <c r="V73" s="24"/>
      <c r="W73" s="25"/>
    </row>
    <row r="74" spans="1:23" ht="15.75" x14ac:dyDescent="0.25">
      <c r="A74" s="37"/>
      <c r="B74" s="78"/>
      <c r="C74" s="24"/>
      <c r="D74" s="24"/>
      <c r="E74" s="37"/>
      <c r="F74" s="38"/>
      <c r="G74" s="24"/>
      <c r="H74" s="38"/>
      <c r="I74" s="24"/>
      <c r="J74" s="37"/>
      <c r="K74" s="38"/>
      <c r="L74" s="24"/>
      <c r="M74" s="38"/>
      <c r="N74" s="24"/>
      <c r="O74" s="38"/>
      <c r="P74" s="37"/>
      <c r="Q74" s="38"/>
      <c r="R74" s="24"/>
      <c r="S74" s="38"/>
      <c r="T74" s="24"/>
      <c r="U74" s="24"/>
      <c r="V74" s="24"/>
      <c r="W74" s="25"/>
    </row>
    <row r="75" spans="1:23" ht="15.75" x14ac:dyDescent="0.25">
      <c r="A75" s="37"/>
      <c r="B75" s="78"/>
      <c r="C75" s="24"/>
      <c r="D75" s="24"/>
      <c r="E75" s="37"/>
      <c r="F75" s="38"/>
      <c r="G75" s="24"/>
      <c r="H75" s="38"/>
      <c r="I75" s="24"/>
      <c r="J75" s="37"/>
      <c r="K75" s="38"/>
      <c r="L75" s="24"/>
      <c r="M75" s="38"/>
      <c r="N75" s="24"/>
      <c r="O75" s="38"/>
      <c r="P75" s="37"/>
      <c r="Q75" s="38"/>
      <c r="R75" s="24"/>
      <c r="S75" s="38"/>
      <c r="T75" s="24"/>
      <c r="U75" s="24"/>
      <c r="V75" s="24"/>
      <c r="W75" s="25"/>
    </row>
    <row r="76" spans="1:23" ht="15.75" x14ac:dyDescent="0.25">
      <c r="A76" s="31">
        <v>1</v>
      </c>
      <c r="B76" s="31" t="s">
        <v>23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37"/>
      <c r="Q76" s="38"/>
      <c r="R76" s="24"/>
      <c r="S76" s="38"/>
      <c r="T76" s="24"/>
      <c r="U76" s="25"/>
      <c r="V76" s="25"/>
      <c r="W76" s="25"/>
    </row>
    <row r="77" spans="1:23" ht="15.75" x14ac:dyDescent="0.25">
      <c r="A77" s="31">
        <v>2</v>
      </c>
      <c r="B77" s="31" t="s">
        <v>24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37"/>
      <c r="Q77" s="38"/>
      <c r="R77" s="24"/>
      <c r="S77" s="38"/>
      <c r="T77" s="24"/>
      <c r="U77" s="25"/>
      <c r="V77" s="25"/>
      <c r="W77" s="25"/>
    </row>
    <row r="78" spans="1:23" ht="15.75" x14ac:dyDescent="0.25">
      <c r="A78" s="31">
        <v>3</v>
      </c>
      <c r="B78" s="31" t="s">
        <v>25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37"/>
      <c r="Q78" s="38"/>
      <c r="R78" s="24"/>
      <c r="S78" s="38"/>
      <c r="T78" s="24"/>
      <c r="U78" s="25"/>
      <c r="V78" s="25"/>
      <c r="W78" s="25"/>
    </row>
    <row r="81" spans="18:18" x14ac:dyDescent="0.25">
      <c r="R81" t="s">
        <v>65</v>
      </c>
    </row>
  </sheetData>
  <mergeCells count="20">
    <mergeCell ref="J5:N5"/>
    <mergeCell ref="O5:O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76"/>
  <sheetViews>
    <sheetView view="pageBreakPreview" topLeftCell="A43" zoomScale="85" zoomScaleNormal="85" zoomScaleSheetLayoutView="85" workbookViewId="0">
      <selection activeCell="T71" sqref="T71"/>
    </sheetView>
  </sheetViews>
  <sheetFormatPr defaultRowHeight="15" x14ac:dyDescent="0.25"/>
  <cols>
    <col min="1" max="1" width="7.5703125" customWidth="1"/>
    <col min="2" max="2" width="13" customWidth="1"/>
    <col min="3" max="3" width="16.14062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151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149</v>
      </c>
      <c r="C3" s="207"/>
      <c r="D3" s="12" t="s">
        <v>6</v>
      </c>
      <c r="E3" s="201" t="s">
        <v>148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132</v>
      </c>
      <c r="W3" s="25"/>
    </row>
    <row r="4" spans="1:23" ht="15.75" x14ac:dyDescent="0.25">
      <c r="A4" s="12" t="s">
        <v>0</v>
      </c>
      <c r="B4" s="216" t="s">
        <v>148</v>
      </c>
      <c r="C4" s="216"/>
      <c r="D4" s="12" t="s">
        <v>9</v>
      </c>
      <c r="E4" s="207">
        <v>9480695302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 t="s">
        <v>152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150</v>
      </c>
      <c r="D7" s="19" t="s">
        <v>124</v>
      </c>
      <c r="E7" s="17">
        <v>98.6</v>
      </c>
      <c r="F7" s="17">
        <v>0.1</v>
      </c>
      <c r="G7" s="19">
        <f t="shared" ref="G7" si="0">E7-F7</f>
        <v>98.5</v>
      </c>
      <c r="H7" s="17">
        <v>1</v>
      </c>
      <c r="I7" s="19">
        <f t="shared" ref="I7" si="1">G7*H7</f>
        <v>98.5</v>
      </c>
      <c r="J7" s="17">
        <v>119.4</v>
      </c>
      <c r="K7" s="17">
        <v>1.5</v>
      </c>
      <c r="L7" s="19">
        <f t="shared" ref="L7" si="2">J7-K7</f>
        <v>117.9</v>
      </c>
      <c r="M7" s="17">
        <v>1</v>
      </c>
      <c r="N7" s="19">
        <f t="shared" ref="N7" si="3">L7*M7</f>
        <v>117.9</v>
      </c>
      <c r="O7" s="17">
        <f>N7-I7</f>
        <v>19.400000000000006</v>
      </c>
      <c r="P7" s="17">
        <v>1592.9</v>
      </c>
      <c r="Q7" s="17">
        <v>1381.4</v>
      </c>
      <c r="R7" s="19">
        <f t="shared" ref="R7" si="4">P7-Q7</f>
        <v>211.5</v>
      </c>
      <c r="S7" s="17">
        <v>1</v>
      </c>
      <c r="T7" s="19">
        <f t="shared" ref="T7" si="5">R7*S7</f>
        <v>211.5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150</v>
      </c>
      <c r="D8" s="19" t="s">
        <v>124</v>
      </c>
      <c r="E8" s="17">
        <v>190</v>
      </c>
      <c r="F8" s="17">
        <f t="shared" ref="F8:F13" si="6">E7</f>
        <v>98.6</v>
      </c>
      <c r="G8" s="19">
        <f t="shared" ref="G8" si="7">E8-F8</f>
        <v>91.4</v>
      </c>
      <c r="H8" s="17">
        <v>1</v>
      </c>
      <c r="I8" s="19">
        <f t="shared" ref="I8" si="8">G8*H8</f>
        <v>91.4</v>
      </c>
      <c r="J8" s="17">
        <v>220</v>
      </c>
      <c r="K8" s="17">
        <f t="shared" ref="K8:K13" si="9">J7</f>
        <v>119.4</v>
      </c>
      <c r="L8" s="19">
        <f t="shared" ref="L8" si="10">J8-K8</f>
        <v>100.6</v>
      </c>
      <c r="M8" s="17">
        <f t="shared" ref="M8:M16" si="11">M7</f>
        <v>1</v>
      </c>
      <c r="N8" s="19">
        <f t="shared" ref="N8" si="12">L8*M8</f>
        <v>100.6</v>
      </c>
      <c r="O8" s="17">
        <f>N8-I8</f>
        <v>9.1999999999999886</v>
      </c>
      <c r="P8" s="17">
        <v>1779</v>
      </c>
      <c r="Q8" s="17">
        <f t="shared" ref="Q8:Q13" si="13">P7</f>
        <v>1592.9</v>
      </c>
      <c r="R8" s="19">
        <f t="shared" ref="R8" si="14">P8-Q8</f>
        <v>186.09999999999991</v>
      </c>
      <c r="S8" s="17">
        <f t="shared" ref="S8:S16" si="15">S7</f>
        <v>1</v>
      </c>
      <c r="T8" s="19">
        <f t="shared" ref="T8" si="16">R8*S8</f>
        <v>186.09999999999991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150</v>
      </c>
      <c r="D9" s="19" t="s">
        <v>124</v>
      </c>
      <c r="E9" s="17">
        <v>299</v>
      </c>
      <c r="F9" s="17">
        <f t="shared" si="6"/>
        <v>190</v>
      </c>
      <c r="G9" s="19">
        <f t="shared" ref="G9" si="17">E9-F9</f>
        <v>109</v>
      </c>
      <c r="H9" s="17">
        <v>1</v>
      </c>
      <c r="I9" s="19">
        <f t="shared" ref="I9" si="18">G9*H9</f>
        <v>109</v>
      </c>
      <c r="J9" s="17">
        <v>324</v>
      </c>
      <c r="K9" s="17">
        <f t="shared" si="9"/>
        <v>220</v>
      </c>
      <c r="L9" s="19">
        <f t="shared" ref="L9" si="19">J9-K9</f>
        <v>104</v>
      </c>
      <c r="M9" s="17">
        <f t="shared" si="11"/>
        <v>1</v>
      </c>
      <c r="N9" s="19">
        <f t="shared" ref="N9" si="20">L9*M9</f>
        <v>104</v>
      </c>
      <c r="O9" s="12">
        <f t="shared" ref="O9:O16" si="21">SUM(O7)</f>
        <v>19.400000000000006</v>
      </c>
      <c r="P9" s="17">
        <v>1988</v>
      </c>
      <c r="Q9" s="17">
        <f t="shared" si="13"/>
        <v>1779</v>
      </c>
      <c r="R9" s="19">
        <f t="shared" ref="R9" si="22">P9-Q9</f>
        <v>209</v>
      </c>
      <c r="S9" s="17">
        <f t="shared" si="15"/>
        <v>1</v>
      </c>
      <c r="T9" s="19">
        <f t="shared" ref="T9" si="23">R9*S9</f>
        <v>209</v>
      </c>
      <c r="U9" s="17">
        <v>0.85</v>
      </c>
      <c r="V9" s="17">
        <v>0.7</v>
      </c>
      <c r="W9" s="25"/>
    </row>
    <row r="10" spans="1:23" ht="15.75" x14ac:dyDescent="0.25">
      <c r="A10" s="12">
        <v>4</v>
      </c>
      <c r="B10" s="22" t="s">
        <v>244</v>
      </c>
      <c r="C10" s="19" t="s">
        <v>150</v>
      </c>
      <c r="D10" s="19" t="s">
        <v>124</v>
      </c>
      <c r="E10" s="17">
        <v>402</v>
      </c>
      <c r="F10" s="17">
        <f t="shared" si="6"/>
        <v>299</v>
      </c>
      <c r="G10" s="19">
        <f t="shared" ref="G10" si="24">E10-F10</f>
        <v>103</v>
      </c>
      <c r="H10" s="17">
        <v>1</v>
      </c>
      <c r="I10" s="19">
        <f t="shared" ref="I10" si="25">G10*H10</f>
        <v>103</v>
      </c>
      <c r="J10" s="17">
        <v>417</v>
      </c>
      <c r="K10" s="17">
        <f t="shared" si="9"/>
        <v>324</v>
      </c>
      <c r="L10" s="19">
        <f t="shared" ref="L10" si="26">J10-K10</f>
        <v>93</v>
      </c>
      <c r="M10" s="17">
        <f t="shared" si="11"/>
        <v>1</v>
      </c>
      <c r="N10" s="19">
        <f t="shared" ref="N10" si="27">L10*M10</f>
        <v>93</v>
      </c>
      <c r="O10" s="12">
        <f t="shared" si="21"/>
        <v>9.1999999999999886</v>
      </c>
      <c r="P10" s="17">
        <v>2209.6</v>
      </c>
      <c r="Q10" s="17">
        <f t="shared" si="13"/>
        <v>1988</v>
      </c>
      <c r="R10" s="19">
        <f t="shared" ref="R10" si="28">P10-Q10</f>
        <v>221.59999999999991</v>
      </c>
      <c r="S10" s="17">
        <f t="shared" si="15"/>
        <v>1</v>
      </c>
      <c r="T10" s="19">
        <f t="shared" ref="T10" si="29">R10*S10</f>
        <v>221.59999999999991</v>
      </c>
      <c r="U10" s="17">
        <v>0.63</v>
      </c>
      <c r="V10" s="17">
        <v>0.8</v>
      </c>
      <c r="W10" s="25"/>
    </row>
    <row r="11" spans="1:23" ht="15.75" x14ac:dyDescent="0.25">
      <c r="A11" s="12">
        <v>5</v>
      </c>
      <c r="B11" s="22" t="s">
        <v>245</v>
      </c>
      <c r="C11" s="19" t="s">
        <v>150</v>
      </c>
      <c r="D11" s="19" t="s">
        <v>124</v>
      </c>
      <c r="E11" s="17">
        <v>529.6</v>
      </c>
      <c r="F11" s="17">
        <f t="shared" si="6"/>
        <v>402</v>
      </c>
      <c r="G11" s="19">
        <f t="shared" ref="G11" si="30">E11-F11</f>
        <v>127.60000000000002</v>
      </c>
      <c r="H11" s="17">
        <v>1</v>
      </c>
      <c r="I11" s="19">
        <f t="shared" ref="I11" si="31">G11*H11</f>
        <v>127.60000000000002</v>
      </c>
      <c r="J11" s="17">
        <v>505.8</v>
      </c>
      <c r="K11" s="17">
        <f t="shared" si="9"/>
        <v>417</v>
      </c>
      <c r="L11" s="19">
        <f t="shared" ref="L11" si="32">J11-K11</f>
        <v>88.800000000000011</v>
      </c>
      <c r="M11" s="17">
        <f t="shared" si="11"/>
        <v>1</v>
      </c>
      <c r="N11" s="19">
        <f t="shared" ref="N11" si="33">L11*M11</f>
        <v>88.800000000000011</v>
      </c>
      <c r="O11" s="12">
        <f t="shared" si="21"/>
        <v>19.400000000000006</v>
      </c>
      <c r="P11" s="17">
        <v>2428.1</v>
      </c>
      <c r="Q11" s="17">
        <f t="shared" si="13"/>
        <v>2209.6</v>
      </c>
      <c r="R11" s="19">
        <f t="shared" ref="R11" si="34">P11-Q11</f>
        <v>218.5</v>
      </c>
      <c r="S11" s="17">
        <f t="shared" si="15"/>
        <v>1</v>
      </c>
      <c r="T11" s="19">
        <f t="shared" ref="T11" si="35">R11*S11</f>
        <v>218.5</v>
      </c>
      <c r="U11" s="17">
        <v>1.08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150</v>
      </c>
      <c r="D12" s="19" t="s">
        <v>124</v>
      </c>
      <c r="E12" s="12">
        <v>647.29999999999995</v>
      </c>
      <c r="F12" s="17">
        <f t="shared" si="6"/>
        <v>529.6</v>
      </c>
      <c r="G12" s="19">
        <f t="shared" ref="G12" si="36">E12-F12</f>
        <v>117.69999999999993</v>
      </c>
      <c r="H12" s="17">
        <v>1</v>
      </c>
      <c r="I12" s="19">
        <f t="shared" ref="I12" si="37">G12*H12</f>
        <v>117.69999999999993</v>
      </c>
      <c r="J12" s="12">
        <v>705.8</v>
      </c>
      <c r="K12" s="17">
        <f t="shared" si="9"/>
        <v>505.8</v>
      </c>
      <c r="L12" s="19">
        <f t="shared" ref="L12" si="38">J12-K12</f>
        <v>199.99999999999994</v>
      </c>
      <c r="M12" s="17">
        <f t="shared" si="11"/>
        <v>1</v>
      </c>
      <c r="N12" s="19">
        <f t="shared" ref="N12" si="39">L12*M12</f>
        <v>199.99999999999994</v>
      </c>
      <c r="O12" s="12">
        <f t="shared" si="21"/>
        <v>9.1999999999999886</v>
      </c>
      <c r="P12" s="17">
        <v>2648</v>
      </c>
      <c r="Q12" s="17">
        <f t="shared" si="13"/>
        <v>2428.1</v>
      </c>
      <c r="R12" s="19">
        <f t="shared" ref="R12" si="40">P12-Q12</f>
        <v>219.90000000000009</v>
      </c>
      <c r="S12" s="17">
        <f t="shared" si="15"/>
        <v>1</v>
      </c>
      <c r="T12" s="19">
        <f t="shared" ref="T12" si="41">R12*S12</f>
        <v>219.90000000000009</v>
      </c>
      <c r="U12" s="19">
        <v>1.18</v>
      </c>
      <c r="V12" s="19">
        <v>0.66</v>
      </c>
      <c r="W12" s="25"/>
    </row>
    <row r="13" spans="1:23" ht="15.75" x14ac:dyDescent="0.25">
      <c r="A13" s="12">
        <v>7</v>
      </c>
      <c r="B13" s="22" t="s">
        <v>252</v>
      </c>
      <c r="C13" s="19" t="s">
        <v>150</v>
      </c>
      <c r="D13" s="19" t="s">
        <v>124</v>
      </c>
      <c r="E13" s="12">
        <v>766</v>
      </c>
      <c r="F13" s="17">
        <f t="shared" si="6"/>
        <v>647.29999999999995</v>
      </c>
      <c r="G13" s="19">
        <f t="shared" ref="G13" si="42">E13-F13</f>
        <v>118.70000000000005</v>
      </c>
      <c r="H13" s="17">
        <f>H12</f>
        <v>1</v>
      </c>
      <c r="I13" s="19">
        <f t="shared" ref="I13" si="43">G13*H13</f>
        <v>118.70000000000005</v>
      </c>
      <c r="J13" s="12">
        <v>814</v>
      </c>
      <c r="K13" s="17">
        <f t="shared" si="9"/>
        <v>705.8</v>
      </c>
      <c r="L13" s="19">
        <f t="shared" ref="L13" si="44">J13-K13</f>
        <v>108.20000000000005</v>
      </c>
      <c r="M13" s="17">
        <f t="shared" si="11"/>
        <v>1</v>
      </c>
      <c r="N13" s="19">
        <f t="shared" ref="N13" si="45">L13*M13</f>
        <v>108.20000000000005</v>
      </c>
      <c r="O13" s="12">
        <f t="shared" si="21"/>
        <v>19.400000000000006</v>
      </c>
      <c r="P13" s="12">
        <v>2834</v>
      </c>
      <c r="Q13" s="17">
        <f t="shared" si="13"/>
        <v>2648</v>
      </c>
      <c r="R13" s="19">
        <f t="shared" ref="R13" si="46">P13-Q13</f>
        <v>186</v>
      </c>
      <c r="S13" s="17">
        <f t="shared" si="15"/>
        <v>1</v>
      </c>
      <c r="T13" s="19">
        <f t="shared" ref="T13" si="47">R13*S13</f>
        <v>186</v>
      </c>
      <c r="U13" s="19">
        <v>1.08</v>
      </c>
      <c r="V13" s="19">
        <v>0.9</v>
      </c>
      <c r="W13" s="25"/>
    </row>
    <row r="14" spans="1:23" ht="15.75" x14ac:dyDescent="0.25">
      <c r="A14" s="12">
        <v>8</v>
      </c>
      <c r="B14" s="22" t="s">
        <v>253</v>
      </c>
      <c r="C14" s="19" t="s">
        <v>150</v>
      </c>
      <c r="D14" s="19" t="s">
        <v>124</v>
      </c>
      <c r="E14" s="12">
        <v>802</v>
      </c>
      <c r="F14" s="17">
        <f t="shared" ref="F14" si="48">E13</f>
        <v>766</v>
      </c>
      <c r="G14" s="19">
        <f t="shared" ref="G14" si="49">E14-F14</f>
        <v>36</v>
      </c>
      <c r="H14" s="17">
        <f>H13</f>
        <v>1</v>
      </c>
      <c r="I14" s="19">
        <f t="shared" ref="I14" si="50">G14*H14</f>
        <v>36</v>
      </c>
      <c r="J14" s="12">
        <v>928</v>
      </c>
      <c r="K14" s="17">
        <f t="shared" ref="K14" si="51">J13</f>
        <v>814</v>
      </c>
      <c r="L14" s="19">
        <f t="shared" ref="L14" si="52">J14-K14</f>
        <v>114</v>
      </c>
      <c r="M14" s="17">
        <f t="shared" si="11"/>
        <v>1</v>
      </c>
      <c r="N14" s="19">
        <f t="shared" ref="N14" si="53">L14*M14</f>
        <v>114</v>
      </c>
      <c r="O14" s="12">
        <f t="shared" si="21"/>
        <v>9.1999999999999886</v>
      </c>
      <c r="P14" s="12">
        <v>3088.4</v>
      </c>
      <c r="Q14" s="17">
        <f t="shared" ref="Q14" si="54">P13</f>
        <v>2834</v>
      </c>
      <c r="R14" s="19">
        <f t="shared" ref="R14" si="55">P14-Q14</f>
        <v>254.40000000000009</v>
      </c>
      <c r="S14" s="17">
        <f t="shared" si="15"/>
        <v>1</v>
      </c>
      <c r="T14" s="19">
        <f t="shared" ref="T14" si="56">R14*S14</f>
        <v>254.40000000000009</v>
      </c>
      <c r="U14" s="19">
        <v>1.8</v>
      </c>
      <c r="V14" s="19">
        <v>0.36</v>
      </c>
      <c r="W14" s="25"/>
    </row>
    <row r="15" spans="1:23" ht="15.75" x14ac:dyDescent="0.25">
      <c r="A15" s="12">
        <v>9</v>
      </c>
      <c r="B15" s="22" t="s">
        <v>254</v>
      </c>
      <c r="C15" s="19" t="s">
        <v>150</v>
      </c>
      <c r="D15" s="19" t="s">
        <v>124</v>
      </c>
      <c r="E15" s="12">
        <v>908</v>
      </c>
      <c r="F15" s="17">
        <f t="shared" ref="F15" si="57">E14</f>
        <v>802</v>
      </c>
      <c r="G15" s="19">
        <f t="shared" ref="G15" si="58">E15-F15</f>
        <v>106</v>
      </c>
      <c r="H15" s="17">
        <f>H14</f>
        <v>1</v>
      </c>
      <c r="I15" s="19">
        <f t="shared" ref="I15" si="59">G15*H15</f>
        <v>106</v>
      </c>
      <c r="J15" s="12">
        <v>1019</v>
      </c>
      <c r="K15" s="17">
        <f t="shared" ref="K15" si="60">J14</f>
        <v>928</v>
      </c>
      <c r="L15" s="19">
        <f t="shared" ref="L15" si="61">J15-K15</f>
        <v>91</v>
      </c>
      <c r="M15" s="17">
        <f t="shared" si="11"/>
        <v>1</v>
      </c>
      <c r="N15" s="19">
        <f t="shared" ref="N15" si="62">L15*M15</f>
        <v>91</v>
      </c>
      <c r="O15" s="12">
        <f t="shared" si="21"/>
        <v>19.400000000000006</v>
      </c>
      <c r="P15" s="12">
        <v>3215</v>
      </c>
      <c r="Q15" s="17">
        <f t="shared" ref="Q15" si="63">P14</f>
        <v>3088.4</v>
      </c>
      <c r="R15" s="19">
        <f t="shared" ref="R15" si="64">P15-Q15</f>
        <v>126.59999999999991</v>
      </c>
      <c r="S15" s="17">
        <f t="shared" si="15"/>
        <v>1</v>
      </c>
      <c r="T15" s="19">
        <f t="shared" ref="T15" si="65">R15*S15</f>
        <v>126.59999999999991</v>
      </c>
      <c r="U15" s="19">
        <v>1.2</v>
      </c>
      <c r="V15" s="19"/>
      <c r="W15" s="25"/>
    </row>
    <row r="16" spans="1:23" ht="15.75" x14ac:dyDescent="0.25">
      <c r="A16" s="12">
        <v>10</v>
      </c>
      <c r="B16" s="22" t="s">
        <v>258</v>
      </c>
      <c r="C16" s="19" t="s">
        <v>150</v>
      </c>
      <c r="D16" s="19" t="s">
        <v>124</v>
      </c>
      <c r="E16" s="12">
        <f>E15+201</f>
        <v>1109</v>
      </c>
      <c r="F16" s="17">
        <f t="shared" ref="F16" si="66">E15</f>
        <v>908</v>
      </c>
      <c r="G16" s="19">
        <f t="shared" ref="G16" si="67">E16-F16</f>
        <v>201</v>
      </c>
      <c r="H16" s="17">
        <f>H15</f>
        <v>1</v>
      </c>
      <c r="I16" s="19">
        <f t="shared" ref="I16" si="68">G16*H16</f>
        <v>201</v>
      </c>
      <c r="J16" s="12">
        <f>J15+98</f>
        <v>1117</v>
      </c>
      <c r="K16" s="17">
        <f t="shared" ref="K16" si="69">J15</f>
        <v>1019</v>
      </c>
      <c r="L16" s="19">
        <f t="shared" ref="L16" si="70">J16-K16</f>
        <v>98</v>
      </c>
      <c r="M16" s="17">
        <f t="shared" si="11"/>
        <v>1</v>
      </c>
      <c r="N16" s="19">
        <f t="shared" ref="N16" si="71">L16*M16</f>
        <v>98</v>
      </c>
      <c r="O16" s="12">
        <f t="shared" si="21"/>
        <v>9.1999999999999886</v>
      </c>
      <c r="P16" s="12">
        <f>P15+305</f>
        <v>3520</v>
      </c>
      <c r="Q16" s="17">
        <f t="shared" ref="Q16" si="72">P15</f>
        <v>3215</v>
      </c>
      <c r="R16" s="19">
        <f t="shared" ref="R16" si="73">P16-Q16</f>
        <v>305</v>
      </c>
      <c r="S16" s="17">
        <f t="shared" si="15"/>
        <v>1</v>
      </c>
      <c r="T16" s="19">
        <f t="shared" ref="T16" si="74">R16*S16</f>
        <v>305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22" t="s">
        <v>121</v>
      </c>
      <c r="I17" s="12">
        <f>SUM(I7:I16)</f>
        <v>1108.9000000000001</v>
      </c>
      <c r="J17" s="12"/>
      <c r="K17" s="17"/>
      <c r="L17" s="12"/>
      <c r="M17" s="17"/>
      <c r="N17" s="12">
        <f t="shared" ref="N17:O17" si="75">SUM(N7:N16)</f>
        <v>1115.5</v>
      </c>
      <c r="O17" s="12">
        <f t="shared" si="75"/>
        <v>142.99999999999997</v>
      </c>
      <c r="P17" s="12"/>
      <c r="Q17" s="17"/>
      <c r="R17" s="12"/>
      <c r="S17" s="17"/>
      <c r="T17" s="12">
        <f>SUM(T7:T16)</f>
        <v>2138.6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150</v>
      </c>
      <c r="D18" s="19" t="s">
        <v>124</v>
      </c>
      <c r="E18" s="12">
        <v>1303.3</v>
      </c>
      <c r="F18" s="17">
        <f>E16</f>
        <v>1109</v>
      </c>
      <c r="G18" s="19">
        <f t="shared" ref="G18" si="76">E18-F18</f>
        <v>194.29999999999995</v>
      </c>
      <c r="H18" s="91">
        <v>1</v>
      </c>
      <c r="I18" s="19">
        <f t="shared" ref="I18" si="77">G18*H18</f>
        <v>194.29999999999995</v>
      </c>
      <c r="J18" s="12">
        <v>1324.7</v>
      </c>
      <c r="K18" s="17">
        <f>J16</f>
        <v>1117</v>
      </c>
      <c r="L18" s="19">
        <f t="shared" ref="L18" si="78">J18-K18</f>
        <v>207.70000000000005</v>
      </c>
      <c r="M18" s="17">
        <f>M16</f>
        <v>1</v>
      </c>
      <c r="N18" s="19">
        <f t="shared" ref="N18" si="79">L18*M18</f>
        <v>207.70000000000005</v>
      </c>
      <c r="O18" s="17">
        <f t="shared" ref="O18" si="80">N18-I18</f>
        <v>13.400000000000091</v>
      </c>
      <c r="P18" s="12">
        <v>3769.5</v>
      </c>
      <c r="Q18" s="17">
        <f>P16</f>
        <v>3520</v>
      </c>
      <c r="R18" s="19">
        <f t="shared" ref="R18" si="81">P18-Q18</f>
        <v>249.5</v>
      </c>
      <c r="S18" s="17">
        <f>S16</f>
        <v>1</v>
      </c>
      <c r="T18" s="19">
        <f t="shared" ref="T18" si="82">R18*S18</f>
        <v>249.5</v>
      </c>
      <c r="U18" s="12">
        <v>1.26</v>
      </c>
      <c r="V18" s="12">
        <v>0.91</v>
      </c>
      <c r="W18" s="25"/>
    </row>
    <row r="19" spans="1:23" ht="15.75" x14ac:dyDescent="0.25">
      <c r="A19" s="12">
        <v>12</v>
      </c>
      <c r="B19" s="22" t="s">
        <v>263</v>
      </c>
      <c r="C19" s="19" t="s">
        <v>150</v>
      </c>
      <c r="D19" s="19" t="s">
        <v>124</v>
      </c>
      <c r="E19" s="12">
        <v>1404.3</v>
      </c>
      <c r="F19" s="17">
        <f t="shared" ref="F19:F24" si="83">E18</f>
        <v>1303.3</v>
      </c>
      <c r="G19" s="19">
        <f t="shared" ref="G19" si="84">E19-F19</f>
        <v>101</v>
      </c>
      <c r="H19" s="91">
        <f t="shared" ref="H19:H59" si="85">H18</f>
        <v>1</v>
      </c>
      <c r="I19" s="19">
        <f t="shared" ref="I19" si="86">G19*H19</f>
        <v>101</v>
      </c>
      <c r="J19" s="12">
        <v>1461.2</v>
      </c>
      <c r="K19" s="17">
        <f t="shared" ref="K19:K24" si="87">J18</f>
        <v>1324.7</v>
      </c>
      <c r="L19" s="19">
        <f t="shared" ref="L19" si="88">J19-K19</f>
        <v>136.5</v>
      </c>
      <c r="M19" s="17">
        <f t="shared" ref="M19:M59" si="89">M18</f>
        <v>1</v>
      </c>
      <c r="N19" s="19">
        <f t="shared" ref="N19" si="90">L19*M19</f>
        <v>136.5</v>
      </c>
      <c r="O19" s="17">
        <f t="shared" ref="O19" si="91">N19-I19</f>
        <v>35.5</v>
      </c>
      <c r="P19" s="12">
        <v>4044.1</v>
      </c>
      <c r="Q19" s="17">
        <f t="shared" ref="Q19:Q24" si="92">P18</f>
        <v>3769.5</v>
      </c>
      <c r="R19" s="19">
        <f t="shared" ref="R19" si="93">P19-Q19</f>
        <v>274.59999999999991</v>
      </c>
      <c r="S19" s="17">
        <f t="shared" ref="S19:S59" si="94">S18</f>
        <v>1</v>
      </c>
      <c r="T19" s="19">
        <f t="shared" ref="T19" si="95">R19*S19</f>
        <v>274.59999999999991</v>
      </c>
      <c r="U19" s="19">
        <v>0.98</v>
      </c>
      <c r="V19" s="19">
        <v>0.98</v>
      </c>
      <c r="W19" s="25"/>
    </row>
    <row r="20" spans="1:23" ht="15.75" x14ac:dyDescent="0.25">
      <c r="A20" s="12">
        <v>13</v>
      </c>
      <c r="B20" s="22" t="s">
        <v>265</v>
      </c>
      <c r="C20" s="19" t="s">
        <v>150</v>
      </c>
      <c r="D20" s="19" t="s">
        <v>124</v>
      </c>
      <c r="E20" s="12">
        <v>1562.7</v>
      </c>
      <c r="F20" s="17">
        <f t="shared" si="83"/>
        <v>1404.3</v>
      </c>
      <c r="G20" s="19">
        <f t="shared" ref="G20" si="96">E20-F20</f>
        <v>158.40000000000009</v>
      </c>
      <c r="H20" s="91">
        <f t="shared" si="85"/>
        <v>1</v>
      </c>
      <c r="I20" s="19">
        <f t="shared" ref="I20" si="97">G20*H20</f>
        <v>158.40000000000009</v>
      </c>
      <c r="J20" s="12">
        <v>1581.8</v>
      </c>
      <c r="K20" s="17">
        <f t="shared" si="87"/>
        <v>1461.2</v>
      </c>
      <c r="L20" s="19">
        <f t="shared" ref="L20" si="98">J20-K20</f>
        <v>120.59999999999991</v>
      </c>
      <c r="M20" s="17">
        <f t="shared" si="89"/>
        <v>1</v>
      </c>
      <c r="N20" s="19">
        <f t="shared" ref="N20" si="99">L20*M20</f>
        <v>120.59999999999991</v>
      </c>
      <c r="O20" s="17">
        <f t="shared" ref="O20" si="100">N20-I20</f>
        <v>-37.800000000000182</v>
      </c>
      <c r="P20" s="12">
        <v>4244.6000000000004</v>
      </c>
      <c r="Q20" s="17">
        <f t="shared" si="92"/>
        <v>4044.1</v>
      </c>
      <c r="R20" s="19">
        <f t="shared" ref="R20" si="101">P20-Q20</f>
        <v>200.50000000000045</v>
      </c>
      <c r="S20" s="17">
        <f t="shared" si="94"/>
        <v>1</v>
      </c>
      <c r="T20" s="19">
        <f t="shared" ref="T20" si="102">R20*S20</f>
        <v>200.50000000000045</v>
      </c>
      <c r="U20" s="19">
        <v>1.72</v>
      </c>
      <c r="V20" s="19">
        <v>0.9</v>
      </c>
      <c r="W20" s="25"/>
    </row>
    <row r="21" spans="1:23" ht="15.75" x14ac:dyDescent="0.25">
      <c r="A21" s="12">
        <v>14</v>
      </c>
      <c r="B21" s="22" t="s">
        <v>266</v>
      </c>
      <c r="C21" s="19" t="s">
        <v>150</v>
      </c>
      <c r="D21" s="19" t="s">
        <v>124</v>
      </c>
      <c r="E21" s="12">
        <v>1631.3</v>
      </c>
      <c r="F21" s="17">
        <f t="shared" si="83"/>
        <v>1562.7</v>
      </c>
      <c r="G21" s="19">
        <f t="shared" ref="G21" si="103">E21-F21</f>
        <v>68.599999999999909</v>
      </c>
      <c r="H21" s="91">
        <f t="shared" si="85"/>
        <v>1</v>
      </c>
      <c r="I21" s="19">
        <f t="shared" ref="I21" si="104">G21*H21</f>
        <v>68.599999999999909</v>
      </c>
      <c r="J21" s="12">
        <v>1716.8</v>
      </c>
      <c r="K21" s="17">
        <f t="shared" si="87"/>
        <v>1581.8</v>
      </c>
      <c r="L21" s="19">
        <f t="shared" ref="L21" si="105">J21-K21</f>
        <v>135</v>
      </c>
      <c r="M21" s="17">
        <f t="shared" si="89"/>
        <v>1</v>
      </c>
      <c r="N21" s="19">
        <f t="shared" ref="N21" si="106">L21*M21</f>
        <v>135</v>
      </c>
      <c r="O21" s="17">
        <f t="shared" ref="O21" si="107">N21-I21</f>
        <v>66.400000000000091</v>
      </c>
      <c r="P21" s="12">
        <v>4478.8999999999996</v>
      </c>
      <c r="Q21" s="17">
        <f t="shared" si="92"/>
        <v>4244.6000000000004</v>
      </c>
      <c r="R21" s="19">
        <f t="shared" ref="R21" si="108">P21-Q21</f>
        <v>234.29999999999927</v>
      </c>
      <c r="S21" s="17">
        <f t="shared" si="94"/>
        <v>1</v>
      </c>
      <c r="T21" s="19">
        <f t="shared" ref="T21" si="109">R21*S21</f>
        <v>234.29999999999927</v>
      </c>
      <c r="U21" s="19">
        <v>0.54</v>
      </c>
      <c r="V21" s="19"/>
      <c r="W21" s="25"/>
    </row>
    <row r="22" spans="1:23" ht="15.75" x14ac:dyDescent="0.25">
      <c r="A22" s="12">
        <v>15</v>
      </c>
      <c r="B22" s="22" t="s">
        <v>267</v>
      </c>
      <c r="C22" s="19" t="s">
        <v>150</v>
      </c>
      <c r="D22" s="19" t="s">
        <v>124</v>
      </c>
      <c r="E22" s="12">
        <v>1841.9</v>
      </c>
      <c r="F22" s="17">
        <f t="shared" si="83"/>
        <v>1631.3</v>
      </c>
      <c r="G22" s="19">
        <f t="shared" ref="G22" si="110">E22-F22</f>
        <v>210.60000000000014</v>
      </c>
      <c r="H22" s="91">
        <f t="shared" si="85"/>
        <v>1</v>
      </c>
      <c r="I22" s="19">
        <f t="shared" ref="I22" si="111">G22*H22</f>
        <v>210.60000000000014</v>
      </c>
      <c r="J22" s="12">
        <v>1810.3</v>
      </c>
      <c r="K22" s="17">
        <f t="shared" si="87"/>
        <v>1716.8</v>
      </c>
      <c r="L22" s="19">
        <f t="shared" ref="L22" si="112">J22-K22</f>
        <v>93.5</v>
      </c>
      <c r="M22" s="17">
        <f t="shared" si="89"/>
        <v>1</v>
      </c>
      <c r="N22" s="19">
        <f t="shared" ref="N22" si="113">L22*M22</f>
        <v>93.5</v>
      </c>
      <c r="O22" s="17">
        <f t="shared" ref="O22" si="114">N22-I22</f>
        <v>-117.10000000000014</v>
      </c>
      <c r="P22" s="12">
        <v>4694.8</v>
      </c>
      <c r="Q22" s="17">
        <f t="shared" si="92"/>
        <v>4478.8999999999996</v>
      </c>
      <c r="R22" s="19">
        <f t="shared" ref="R22" si="115">P22-Q22</f>
        <v>215.90000000000055</v>
      </c>
      <c r="S22" s="17">
        <f t="shared" si="94"/>
        <v>1</v>
      </c>
      <c r="T22" s="19">
        <f t="shared" ref="T22" si="116">R22*S22</f>
        <v>215.90000000000055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150</v>
      </c>
      <c r="D23" s="19" t="s">
        <v>124</v>
      </c>
      <c r="E23" s="12">
        <v>1963.6</v>
      </c>
      <c r="F23" s="17">
        <f t="shared" si="83"/>
        <v>1841.9</v>
      </c>
      <c r="G23" s="19">
        <f t="shared" ref="G23" si="117">E23-F23</f>
        <v>121.69999999999982</v>
      </c>
      <c r="H23" s="91">
        <f t="shared" si="85"/>
        <v>1</v>
      </c>
      <c r="I23" s="19">
        <f t="shared" ref="I23" si="118">G23*H23</f>
        <v>121.69999999999982</v>
      </c>
      <c r="J23" s="12">
        <v>1918.3</v>
      </c>
      <c r="K23" s="17">
        <f t="shared" si="87"/>
        <v>1810.3</v>
      </c>
      <c r="L23" s="19">
        <f t="shared" ref="L23" si="119">J23-K23</f>
        <v>108</v>
      </c>
      <c r="M23" s="17">
        <f t="shared" si="89"/>
        <v>1</v>
      </c>
      <c r="N23" s="19">
        <f t="shared" ref="N23" si="120">L23*M23</f>
        <v>108</v>
      </c>
      <c r="O23" s="17">
        <f t="shared" ref="O23" si="121">N23-I23</f>
        <v>-13.699999999999818</v>
      </c>
      <c r="P23" s="12">
        <v>4943.6000000000004</v>
      </c>
      <c r="Q23" s="17">
        <f t="shared" si="92"/>
        <v>4694.8</v>
      </c>
      <c r="R23" s="19">
        <f t="shared" ref="R23" si="122">P23-Q23</f>
        <v>248.80000000000018</v>
      </c>
      <c r="S23" s="17">
        <f t="shared" si="94"/>
        <v>1</v>
      </c>
      <c r="T23" s="19">
        <f t="shared" ref="T23" si="123">R23*S23</f>
        <v>248.80000000000018</v>
      </c>
      <c r="U23" s="19">
        <v>0.78</v>
      </c>
      <c r="V23" s="19">
        <v>0.45</v>
      </c>
      <c r="W23" s="25"/>
    </row>
    <row r="24" spans="1:23" ht="15.75" x14ac:dyDescent="0.25">
      <c r="A24" s="12">
        <v>17</v>
      </c>
      <c r="B24" s="22" t="s">
        <v>272</v>
      </c>
      <c r="C24" s="19" t="s">
        <v>150</v>
      </c>
      <c r="D24" s="19" t="s">
        <v>124</v>
      </c>
      <c r="E24" s="12">
        <v>2034.6</v>
      </c>
      <c r="F24" s="17">
        <f t="shared" si="83"/>
        <v>1963.6</v>
      </c>
      <c r="G24" s="19">
        <f t="shared" ref="G24" si="124">E24-F24</f>
        <v>71</v>
      </c>
      <c r="H24" s="91">
        <f t="shared" si="85"/>
        <v>1</v>
      </c>
      <c r="I24" s="19">
        <f t="shared" ref="I24" si="125">G24*H24</f>
        <v>71</v>
      </c>
      <c r="J24" s="12">
        <v>2016.6</v>
      </c>
      <c r="K24" s="17">
        <f t="shared" si="87"/>
        <v>1918.3</v>
      </c>
      <c r="L24" s="19">
        <f t="shared" ref="L24" si="126">J24-K24</f>
        <v>98.299999999999955</v>
      </c>
      <c r="M24" s="17">
        <f t="shared" si="89"/>
        <v>1</v>
      </c>
      <c r="N24" s="19">
        <f t="shared" ref="N24" si="127">L24*M24</f>
        <v>98.299999999999955</v>
      </c>
      <c r="O24" s="17">
        <f t="shared" ref="O24" si="128">N24-I24</f>
        <v>27.299999999999955</v>
      </c>
      <c r="P24" s="12">
        <f>5307.5-180</f>
        <v>5127.5</v>
      </c>
      <c r="Q24" s="17">
        <f t="shared" si="92"/>
        <v>4943.6000000000004</v>
      </c>
      <c r="R24" s="19">
        <f t="shared" ref="R24" si="129">P24-Q24</f>
        <v>183.89999999999964</v>
      </c>
      <c r="S24" s="17">
        <f t="shared" si="94"/>
        <v>1</v>
      </c>
      <c r="T24" s="19">
        <f t="shared" ref="T24" si="130">R24*S24</f>
        <v>183.89999999999964</v>
      </c>
      <c r="U24" s="19">
        <v>1.45</v>
      </c>
      <c r="V24" s="19">
        <v>0.95</v>
      </c>
      <c r="W24" s="25"/>
    </row>
    <row r="25" spans="1:23" ht="15.75" x14ac:dyDescent="0.25">
      <c r="A25" s="12">
        <v>18</v>
      </c>
      <c r="B25" s="22" t="s">
        <v>274</v>
      </c>
      <c r="C25" s="19" t="s">
        <v>150</v>
      </c>
      <c r="D25" s="19" t="s">
        <v>124</v>
      </c>
      <c r="E25" s="12">
        <v>2123.8000000000002</v>
      </c>
      <c r="F25" s="17">
        <f t="shared" ref="F25" si="131">E24</f>
        <v>2034.6</v>
      </c>
      <c r="G25" s="19">
        <f t="shared" ref="G25" si="132">E25-F25</f>
        <v>89.200000000000273</v>
      </c>
      <c r="H25" s="91">
        <f t="shared" si="85"/>
        <v>1</v>
      </c>
      <c r="I25" s="19">
        <f t="shared" ref="I25" si="133">G25*H25</f>
        <v>89.200000000000273</v>
      </c>
      <c r="J25" s="12">
        <v>2102.6999999999998</v>
      </c>
      <c r="K25" s="17">
        <f t="shared" ref="K25" si="134">J24</f>
        <v>2016.6</v>
      </c>
      <c r="L25" s="19">
        <f t="shared" ref="L25" si="135">J25-K25</f>
        <v>86.099999999999909</v>
      </c>
      <c r="M25" s="17">
        <f t="shared" si="89"/>
        <v>1</v>
      </c>
      <c r="N25" s="19">
        <f t="shared" ref="N25" si="136">L25*M25</f>
        <v>86.099999999999909</v>
      </c>
      <c r="O25" s="17">
        <f t="shared" ref="O25" si="137">N25-I25</f>
        <v>-3.1000000000003638</v>
      </c>
      <c r="P25" s="12">
        <v>5308.3</v>
      </c>
      <c r="Q25" s="17">
        <f t="shared" ref="Q25" si="138">P24</f>
        <v>5127.5</v>
      </c>
      <c r="R25" s="19">
        <f t="shared" ref="R25" si="139">P25-Q25</f>
        <v>180.80000000000018</v>
      </c>
      <c r="S25" s="17">
        <f t="shared" si="94"/>
        <v>1</v>
      </c>
      <c r="T25" s="19">
        <f t="shared" ref="T25" si="140">R25*S25</f>
        <v>180.80000000000018</v>
      </c>
      <c r="U25" s="19">
        <v>0.79</v>
      </c>
      <c r="V25" s="19">
        <v>0.96</v>
      </c>
      <c r="W25" s="25"/>
    </row>
    <row r="26" spans="1:23" ht="15.75" x14ac:dyDescent="0.25">
      <c r="A26" s="12">
        <v>19</v>
      </c>
      <c r="B26" s="22" t="s">
        <v>276</v>
      </c>
      <c r="C26" s="19" t="s">
        <v>150</v>
      </c>
      <c r="D26" s="19" t="s">
        <v>124</v>
      </c>
      <c r="E26" s="12">
        <v>2214.3000000000002</v>
      </c>
      <c r="F26" s="17">
        <f t="shared" ref="F26" si="141">E25</f>
        <v>2123.8000000000002</v>
      </c>
      <c r="G26" s="19">
        <f t="shared" ref="G26" si="142">E26-F26</f>
        <v>90.5</v>
      </c>
      <c r="H26" s="91">
        <f t="shared" si="85"/>
        <v>1</v>
      </c>
      <c r="I26" s="19">
        <f t="shared" ref="I26" si="143">G26*H26</f>
        <v>90.5</v>
      </c>
      <c r="J26" s="12">
        <v>2189.1</v>
      </c>
      <c r="K26" s="17">
        <f t="shared" ref="K26" si="144">J25</f>
        <v>2102.6999999999998</v>
      </c>
      <c r="L26" s="19">
        <f t="shared" ref="L26" si="145">J26-K26</f>
        <v>86.400000000000091</v>
      </c>
      <c r="M26" s="17">
        <f t="shared" si="89"/>
        <v>1</v>
      </c>
      <c r="N26" s="19">
        <f t="shared" ref="N26" si="146">L26*M26</f>
        <v>86.400000000000091</v>
      </c>
      <c r="O26" s="17">
        <f t="shared" ref="O26" si="147">N26-I26</f>
        <v>-4.0999999999999091</v>
      </c>
      <c r="P26" s="12">
        <v>5482.3</v>
      </c>
      <c r="Q26" s="17">
        <f t="shared" ref="Q26" si="148">P25</f>
        <v>5308.3</v>
      </c>
      <c r="R26" s="19">
        <f t="shared" ref="R26" si="149">P26-Q26</f>
        <v>174</v>
      </c>
      <c r="S26" s="17">
        <f t="shared" si="94"/>
        <v>1</v>
      </c>
      <c r="T26" s="19">
        <f t="shared" ref="T26" si="150">R26*S26</f>
        <v>174</v>
      </c>
      <c r="U26" s="19">
        <v>0.88</v>
      </c>
      <c r="V26" s="19">
        <v>0.83</v>
      </c>
      <c r="W26" s="25"/>
    </row>
    <row r="27" spans="1:23" ht="15.75" x14ac:dyDescent="0.25">
      <c r="A27" s="12">
        <v>20</v>
      </c>
      <c r="B27" s="22" t="s">
        <v>262</v>
      </c>
      <c r="C27" s="19" t="s">
        <v>150</v>
      </c>
      <c r="D27" s="19" t="s">
        <v>124</v>
      </c>
      <c r="E27" s="12">
        <v>2305.3000000000002</v>
      </c>
      <c r="F27" s="17">
        <f t="shared" ref="F27" si="151">E26</f>
        <v>2214.3000000000002</v>
      </c>
      <c r="G27" s="19">
        <f t="shared" ref="G27" si="152">E27-F27</f>
        <v>91</v>
      </c>
      <c r="H27" s="91">
        <f t="shared" si="85"/>
        <v>1</v>
      </c>
      <c r="I27" s="19">
        <f t="shared" ref="I27" si="153">G27*H27</f>
        <v>91</v>
      </c>
      <c r="J27" s="12">
        <v>2273.1999999999998</v>
      </c>
      <c r="K27" s="17">
        <f t="shared" ref="K27" si="154">J26</f>
        <v>2189.1</v>
      </c>
      <c r="L27" s="19">
        <f t="shared" ref="L27" si="155">J27-K27</f>
        <v>84.099999999999909</v>
      </c>
      <c r="M27" s="17">
        <f t="shared" si="89"/>
        <v>1</v>
      </c>
      <c r="N27" s="19">
        <f t="shared" ref="N27" si="156">L27*M27</f>
        <v>84.099999999999909</v>
      </c>
      <c r="O27" s="17">
        <f t="shared" ref="O27" si="157">N27-I27</f>
        <v>-6.9000000000000909</v>
      </c>
      <c r="P27" s="12">
        <v>5655.3</v>
      </c>
      <c r="Q27" s="17">
        <f t="shared" ref="Q27" si="158">P26</f>
        <v>5482.3</v>
      </c>
      <c r="R27" s="19">
        <f t="shared" ref="R27" si="159">P27-Q27</f>
        <v>173</v>
      </c>
      <c r="S27" s="17">
        <f t="shared" si="94"/>
        <v>1</v>
      </c>
      <c r="T27" s="19">
        <f t="shared" ref="T27" si="160">R27*S27</f>
        <v>173</v>
      </c>
      <c r="U27" s="19">
        <v>0.83</v>
      </c>
      <c r="V27" s="19">
        <v>0.9</v>
      </c>
      <c r="W27" s="25"/>
    </row>
    <row r="28" spans="1:23" ht="15.75" x14ac:dyDescent="0.25">
      <c r="A28" s="12">
        <v>21</v>
      </c>
      <c r="B28" s="22" t="s">
        <v>277</v>
      </c>
      <c r="C28" s="19" t="s">
        <v>150</v>
      </c>
      <c r="D28" s="19" t="s">
        <v>124</v>
      </c>
      <c r="E28" s="12">
        <v>2411.1</v>
      </c>
      <c r="F28" s="17">
        <f t="shared" ref="F28" si="161">E27</f>
        <v>2305.3000000000002</v>
      </c>
      <c r="G28" s="19">
        <f t="shared" ref="G28" si="162">E28-F28</f>
        <v>105.79999999999973</v>
      </c>
      <c r="H28" s="91">
        <f t="shared" si="85"/>
        <v>1</v>
      </c>
      <c r="I28" s="19">
        <f t="shared" ref="I28" si="163">G28*H28</f>
        <v>105.79999999999973</v>
      </c>
      <c r="J28" s="12">
        <v>2366.1999999999998</v>
      </c>
      <c r="K28" s="17">
        <f t="shared" ref="K28" si="164">J27</f>
        <v>2273.1999999999998</v>
      </c>
      <c r="L28" s="19">
        <f t="shared" ref="L28" si="165">J28-K28</f>
        <v>93</v>
      </c>
      <c r="M28" s="17">
        <f t="shared" si="89"/>
        <v>1</v>
      </c>
      <c r="N28" s="19">
        <f t="shared" ref="N28" si="166">L28*M28</f>
        <v>93</v>
      </c>
      <c r="O28" s="17">
        <f t="shared" ref="O28" si="167">N28-I28</f>
        <v>-12.799999999999727</v>
      </c>
      <c r="P28" s="12">
        <v>5854.3</v>
      </c>
      <c r="Q28" s="17">
        <f t="shared" ref="Q28" si="168">P27</f>
        <v>5655.3</v>
      </c>
      <c r="R28" s="19">
        <f t="shared" ref="R28" si="169">P28-Q28</f>
        <v>199</v>
      </c>
      <c r="S28" s="17">
        <f t="shared" si="94"/>
        <v>1</v>
      </c>
      <c r="T28" s="19">
        <f t="shared" ref="T28" si="170">R28*S28</f>
        <v>199</v>
      </c>
      <c r="U28" s="19">
        <v>0.88</v>
      </c>
      <c r="V28" s="19">
        <v>0.94</v>
      </c>
      <c r="W28" s="25"/>
    </row>
    <row r="29" spans="1:23" ht="15.75" x14ac:dyDescent="0.25">
      <c r="A29" s="12">
        <v>22</v>
      </c>
      <c r="B29" s="22" t="s">
        <v>278</v>
      </c>
      <c r="C29" s="19" t="s">
        <v>150</v>
      </c>
      <c r="D29" s="19" t="s">
        <v>124</v>
      </c>
      <c r="E29" s="12">
        <v>2575.3000000000002</v>
      </c>
      <c r="F29" s="17">
        <f t="shared" ref="F29" si="171">E28</f>
        <v>2411.1</v>
      </c>
      <c r="G29" s="19">
        <f t="shared" ref="G29" si="172">E29-F29</f>
        <v>164.20000000000027</v>
      </c>
      <c r="H29" s="91">
        <f t="shared" si="85"/>
        <v>1</v>
      </c>
      <c r="I29" s="19">
        <f t="shared" ref="I29" si="173">G29*H29</f>
        <v>164.20000000000027</v>
      </c>
      <c r="J29" s="12">
        <v>2482.5</v>
      </c>
      <c r="K29" s="17">
        <f t="shared" ref="K29" si="174">J28</f>
        <v>2366.1999999999998</v>
      </c>
      <c r="L29" s="19">
        <f t="shared" ref="L29" si="175">J29-K29</f>
        <v>116.30000000000018</v>
      </c>
      <c r="M29" s="17">
        <f t="shared" si="89"/>
        <v>1</v>
      </c>
      <c r="N29" s="19">
        <f t="shared" ref="N29" si="176">L29*M29</f>
        <v>116.30000000000018</v>
      </c>
      <c r="O29" s="17">
        <f t="shared" ref="O29" si="177">N29-I29</f>
        <v>-47.900000000000091</v>
      </c>
      <c r="P29" s="12">
        <v>6058.3</v>
      </c>
      <c r="Q29" s="17">
        <f t="shared" ref="Q29" si="178">P28</f>
        <v>5854.3</v>
      </c>
      <c r="R29" s="19">
        <f t="shared" ref="R29" si="179">P29-Q29</f>
        <v>204</v>
      </c>
      <c r="S29" s="17">
        <f t="shared" si="94"/>
        <v>1</v>
      </c>
      <c r="T29" s="19">
        <f t="shared" ref="T29" si="180">R29*S29</f>
        <v>204</v>
      </c>
      <c r="U29" s="19"/>
      <c r="V29" s="19">
        <v>0.94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150</v>
      </c>
      <c r="D31" s="19" t="s">
        <v>124</v>
      </c>
      <c r="E31" s="12">
        <v>2620</v>
      </c>
      <c r="F31" s="17">
        <f t="shared" ref="F31" si="181">E29</f>
        <v>2575.3000000000002</v>
      </c>
      <c r="G31" s="19">
        <f t="shared" ref="G31" si="182">E31-F31</f>
        <v>44.699999999999818</v>
      </c>
      <c r="H31" s="91">
        <f>H29</f>
        <v>1</v>
      </c>
      <c r="I31" s="19">
        <f t="shared" ref="I31" si="183">G31*H31</f>
        <v>44.699999999999818</v>
      </c>
      <c r="J31" s="12">
        <v>2596.5</v>
      </c>
      <c r="K31" s="17">
        <f t="shared" ref="K31" si="184">J29</f>
        <v>2482.5</v>
      </c>
      <c r="L31" s="19">
        <f t="shared" ref="L31" si="185">J31-K31</f>
        <v>114</v>
      </c>
      <c r="M31" s="17">
        <f>M29</f>
        <v>1</v>
      </c>
      <c r="N31" s="19">
        <f t="shared" ref="N31" si="186">L31*M31</f>
        <v>114</v>
      </c>
      <c r="O31" s="17">
        <f t="shared" ref="O31" si="187">N31-I31</f>
        <v>69.300000000000182</v>
      </c>
      <c r="P31" s="12">
        <v>6268.3</v>
      </c>
      <c r="Q31" s="17">
        <f t="shared" ref="Q31" si="188">P29</f>
        <v>6058.3</v>
      </c>
      <c r="R31" s="19">
        <f t="shared" ref="R31" si="189">P31-Q31</f>
        <v>210</v>
      </c>
      <c r="S31" s="17">
        <f>S29</f>
        <v>1</v>
      </c>
      <c r="T31" s="19">
        <f t="shared" ref="T31" si="190">R31*S31</f>
        <v>210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150</v>
      </c>
      <c r="D32" s="19" t="s">
        <v>124</v>
      </c>
      <c r="E32" s="12">
        <v>2667.8</v>
      </c>
      <c r="F32" s="17">
        <f t="shared" ref="F32" si="191">E31</f>
        <v>2620</v>
      </c>
      <c r="G32" s="19">
        <f t="shared" ref="G32" si="192">E32-F32</f>
        <v>47.800000000000182</v>
      </c>
      <c r="H32" s="91">
        <f t="shared" si="85"/>
        <v>1</v>
      </c>
      <c r="I32" s="19">
        <f t="shared" ref="I32" si="193">G32*H32</f>
        <v>47.800000000000182</v>
      </c>
      <c r="J32" s="12">
        <v>2779.7</v>
      </c>
      <c r="K32" s="17">
        <f t="shared" ref="K32" si="194">J31</f>
        <v>2596.5</v>
      </c>
      <c r="L32" s="19">
        <f t="shared" ref="L32" si="195">J32-K32</f>
        <v>183.19999999999982</v>
      </c>
      <c r="M32" s="17">
        <f t="shared" si="89"/>
        <v>1</v>
      </c>
      <c r="N32" s="19">
        <f t="shared" ref="N32" si="196">L32*M32</f>
        <v>183.19999999999982</v>
      </c>
      <c r="O32" s="17">
        <f t="shared" ref="O32" si="197">N32-I32</f>
        <v>135.39999999999964</v>
      </c>
      <c r="P32" s="12">
        <v>6536.1</v>
      </c>
      <c r="Q32" s="17">
        <f t="shared" ref="Q32" si="198">P31</f>
        <v>6268.3</v>
      </c>
      <c r="R32" s="19">
        <f t="shared" ref="R32" si="199">P32-Q32</f>
        <v>267.80000000000018</v>
      </c>
      <c r="S32" s="17">
        <f t="shared" si="94"/>
        <v>1</v>
      </c>
      <c r="T32" s="19">
        <f t="shared" ref="T32" si="200">R32*S32</f>
        <v>267.80000000000018</v>
      </c>
      <c r="U32" s="19">
        <v>1.24</v>
      </c>
      <c r="V32" s="19">
        <v>0.85</v>
      </c>
      <c r="W32" s="25"/>
    </row>
    <row r="33" spans="1:23" ht="15.75" x14ac:dyDescent="0.25">
      <c r="A33" s="12">
        <v>25</v>
      </c>
      <c r="B33" s="22" t="s">
        <v>281</v>
      </c>
      <c r="C33" s="19" t="s">
        <v>150</v>
      </c>
      <c r="D33" s="19" t="s">
        <v>124</v>
      </c>
      <c r="E33" s="12">
        <f>E32+74</f>
        <v>2741.8</v>
      </c>
      <c r="F33" s="17">
        <f t="shared" ref="F33:F34" si="201">E32</f>
        <v>2667.8</v>
      </c>
      <c r="G33" s="19">
        <f t="shared" ref="G33:G34" si="202">E33-F33</f>
        <v>74</v>
      </c>
      <c r="H33" s="91">
        <f t="shared" si="85"/>
        <v>1</v>
      </c>
      <c r="I33" s="19">
        <f t="shared" ref="I33:I34" si="203">G33*H33</f>
        <v>74</v>
      </c>
      <c r="J33" s="12">
        <f>J32+112</f>
        <v>2891.7</v>
      </c>
      <c r="K33" s="17">
        <f t="shared" ref="K33:K34" si="204">J32</f>
        <v>2779.7</v>
      </c>
      <c r="L33" s="19">
        <f t="shared" ref="L33:L34" si="205">J33-K33</f>
        <v>112</v>
      </c>
      <c r="M33" s="17">
        <f t="shared" si="89"/>
        <v>1</v>
      </c>
      <c r="N33" s="19">
        <f t="shared" ref="N33:N34" si="206">L33*M33</f>
        <v>112</v>
      </c>
      <c r="O33" s="17">
        <f t="shared" ref="O33:O34" si="207">N33-I33</f>
        <v>38</v>
      </c>
      <c r="P33" s="12">
        <f>P32+187</f>
        <v>6723.1</v>
      </c>
      <c r="Q33" s="17">
        <f t="shared" ref="Q33:Q34" si="208">P32</f>
        <v>6536.1</v>
      </c>
      <c r="R33" s="19">
        <f t="shared" ref="R33:R34" si="209">P33-Q33</f>
        <v>187</v>
      </c>
      <c r="S33" s="17">
        <f t="shared" si="94"/>
        <v>1</v>
      </c>
      <c r="T33" s="19">
        <f t="shared" ref="T33:T34" si="210">R33*S33</f>
        <v>187</v>
      </c>
      <c r="U33" s="19"/>
      <c r="V33" s="19"/>
      <c r="W33" s="25"/>
    </row>
    <row r="34" spans="1:23" ht="15.75" x14ac:dyDescent="0.25">
      <c r="A34" s="12">
        <v>26</v>
      </c>
      <c r="B34" s="22" t="s">
        <v>282</v>
      </c>
      <c r="C34" s="19" t="s">
        <v>150</v>
      </c>
      <c r="D34" s="19" t="s">
        <v>124</v>
      </c>
      <c r="E34" s="12">
        <v>2815.2</v>
      </c>
      <c r="F34" s="17">
        <f t="shared" si="201"/>
        <v>2741.8</v>
      </c>
      <c r="G34" s="19">
        <f t="shared" si="202"/>
        <v>73.399999999999636</v>
      </c>
      <c r="H34" s="91">
        <f t="shared" si="85"/>
        <v>1</v>
      </c>
      <c r="I34" s="19">
        <f t="shared" si="203"/>
        <v>73.399999999999636</v>
      </c>
      <c r="J34" s="12">
        <v>3003</v>
      </c>
      <c r="K34" s="17">
        <f t="shared" si="204"/>
        <v>2891.7</v>
      </c>
      <c r="L34" s="19">
        <f t="shared" si="205"/>
        <v>111.30000000000018</v>
      </c>
      <c r="M34" s="17">
        <f t="shared" si="89"/>
        <v>1</v>
      </c>
      <c r="N34" s="19">
        <f t="shared" si="206"/>
        <v>111.30000000000018</v>
      </c>
      <c r="O34" s="17">
        <f t="shared" si="207"/>
        <v>37.900000000000546</v>
      </c>
      <c r="P34" s="12">
        <f>P33+190</f>
        <v>6913.1</v>
      </c>
      <c r="Q34" s="17">
        <f t="shared" si="208"/>
        <v>6723.1</v>
      </c>
      <c r="R34" s="19">
        <f t="shared" si="209"/>
        <v>190</v>
      </c>
      <c r="S34" s="17">
        <f t="shared" si="94"/>
        <v>1</v>
      </c>
      <c r="T34" s="19">
        <f t="shared" si="210"/>
        <v>190</v>
      </c>
      <c r="U34" s="19"/>
      <c r="V34" s="19">
        <v>0.8</v>
      </c>
      <c r="W34" s="25"/>
    </row>
    <row r="35" spans="1:23" ht="15.75" x14ac:dyDescent="0.25">
      <c r="A35" s="12">
        <v>27</v>
      </c>
      <c r="B35" s="22" t="s">
        <v>283</v>
      </c>
      <c r="C35" s="19" t="s">
        <v>150</v>
      </c>
      <c r="D35" s="19" t="s">
        <v>124</v>
      </c>
      <c r="E35" s="12">
        <v>2905.8</v>
      </c>
      <c r="F35" s="17">
        <f t="shared" ref="F35" si="211">E34</f>
        <v>2815.2</v>
      </c>
      <c r="G35" s="19">
        <f t="shared" ref="G35" si="212">E35-F35</f>
        <v>90.600000000000364</v>
      </c>
      <c r="H35" s="91">
        <f t="shared" si="85"/>
        <v>1</v>
      </c>
      <c r="I35" s="19">
        <f t="shared" ref="I35" si="213">G35*H35</f>
        <v>90.600000000000364</v>
      </c>
      <c r="J35" s="12">
        <v>3102.8</v>
      </c>
      <c r="K35" s="17">
        <f t="shared" ref="K35" si="214">J34</f>
        <v>3003</v>
      </c>
      <c r="L35" s="19">
        <f t="shared" ref="L35" si="215">J35-K35</f>
        <v>99.800000000000182</v>
      </c>
      <c r="M35" s="17">
        <f t="shared" si="89"/>
        <v>1</v>
      </c>
      <c r="N35" s="19">
        <f t="shared" ref="N35" si="216">L35*M35</f>
        <v>99.800000000000182</v>
      </c>
      <c r="O35" s="17">
        <f t="shared" ref="O35" si="217">N35-I35</f>
        <v>9.1999999999998181</v>
      </c>
      <c r="P35" s="12">
        <v>7125.1</v>
      </c>
      <c r="Q35" s="17">
        <f t="shared" ref="Q35" si="218">P34</f>
        <v>6913.1</v>
      </c>
      <c r="R35" s="19">
        <f t="shared" ref="R35" si="219">P35-Q35</f>
        <v>212</v>
      </c>
      <c r="S35" s="17">
        <f t="shared" si="94"/>
        <v>1</v>
      </c>
      <c r="T35" s="19">
        <f t="shared" ref="T35" si="220">R35*S35</f>
        <v>212</v>
      </c>
      <c r="U35" s="19">
        <v>1.18</v>
      </c>
      <c r="V35" s="19">
        <v>0.98</v>
      </c>
      <c r="W35" s="25"/>
    </row>
    <row r="36" spans="1:23" ht="15.75" x14ac:dyDescent="0.25">
      <c r="A36" s="12">
        <v>28</v>
      </c>
      <c r="B36" s="22" t="s">
        <v>284</v>
      </c>
      <c r="C36" s="19" t="s">
        <v>150</v>
      </c>
      <c r="D36" s="19" t="s">
        <v>124</v>
      </c>
      <c r="E36" s="12">
        <v>2992</v>
      </c>
      <c r="F36" s="17">
        <f t="shared" ref="F36" si="221">E35</f>
        <v>2905.8</v>
      </c>
      <c r="G36" s="19">
        <f t="shared" ref="G36" si="222">E36-F36</f>
        <v>86.199999999999818</v>
      </c>
      <c r="H36" s="91">
        <f t="shared" si="85"/>
        <v>1</v>
      </c>
      <c r="I36" s="19">
        <f t="shared" ref="I36" si="223">G36*H36</f>
        <v>86.199999999999818</v>
      </c>
      <c r="J36" s="12">
        <v>3199.9</v>
      </c>
      <c r="K36" s="17">
        <f t="shared" ref="K36" si="224">J35</f>
        <v>3102.8</v>
      </c>
      <c r="L36" s="19">
        <f t="shared" ref="L36" si="225">J36-K36</f>
        <v>97.099999999999909</v>
      </c>
      <c r="M36" s="17">
        <f t="shared" si="89"/>
        <v>1</v>
      </c>
      <c r="N36" s="19">
        <f t="shared" ref="N36" si="226">L36*M36</f>
        <v>97.099999999999909</v>
      </c>
      <c r="O36" s="17">
        <f t="shared" ref="O36" si="227">N36-I36</f>
        <v>10.900000000000091</v>
      </c>
      <c r="P36" s="12">
        <v>7319.7</v>
      </c>
      <c r="Q36" s="17">
        <f t="shared" ref="Q36" si="228">P35</f>
        <v>7125.1</v>
      </c>
      <c r="R36" s="19">
        <f t="shared" ref="R36" si="229">P36-Q36</f>
        <v>194.59999999999945</v>
      </c>
      <c r="S36" s="17">
        <f t="shared" si="94"/>
        <v>1</v>
      </c>
      <c r="T36" s="19">
        <f t="shared" ref="T36" si="230">R36*S36</f>
        <v>194.59999999999945</v>
      </c>
      <c r="U36" s="19">
        <v>1.93</v>
      </c>
      <c r="V36" s="19">
        <v>0.91</v>
      </c>
      <c r="W36" s="25"/>
    </row>
    <row r="37" spans="1:23" ht="15.75" x14ac:dyDescent="0.25">
      <c r="A37" s="12">
        <v>29</v>
      </c>
      <c r="B37" s="22" t="s">
        <v>286</v>
      </c>
      <c r="C37" s="19" t="s">
        <v>150</v>
      </c>
      <c r="D37" s="19" t="s">
        <v>124</v>
      </c>
      <c r="E37" s="12">
        <v>3080.5</v>
      </c>
      <c r="F37" s="17">
        <f t="shared" ref="F37" si="231">E36</f>
        <v>2992</v>
      </c>
      <c r="G37" s="19">
        <f t="shared" ref="G37" si="232">E37-F37</f>
        <v>88.5</v>
      </c>
      <c r="H37" s="91">
        <f t="shared" si="85"/>
        <v>1</v>
      </c>
      <c r="I37" s="19">
        <f t="shared" ref="I37" si="233">G37*H37</f>
        <v>88.5</v>
      </c>
      <c r="J37" s="12">
        <v>3296.8</v>
      </c>
      <c r="K37" s="17">
        <f t="shared" ref="K37" si="234">J36</f>
        <v>3199.9</v>
      </c>
      <c r="L37" s="19">
        <f t="shared" ref="L37" si="235">J37-K37</f>
        <v>96.900000000000091</v>
      </c>
      <c r="M37" s="17">
        <f t="shared" si="89"/>
        <v>1</v>
      </c>
      <c r="N37" s="19">
        <f t="shared" ref="N37" si="236">L37*M37</f>
        <v>96.900000000000091</v>
      </c>
      <c r="O37" s="17">
        <f t="shared" ref="O37" si="237">N37-I37</f>
        <v>8.4000000000000909</v>
      </c>
      <c r="P37" s="12">
        <v>7532.8</v>
      </c>
      <c r="Q37" s="17">
        <f t="shared" ref="Q37" si="238">P36</f>
        <v>7319.7</v>
      </c>
      <c r="R37" s="19">
        <f t="shared" ref="R37" si="239">P37-Q37</f>
        <v>213.10000000000036</v>
      </c>
      <c r="S37" s="17">
        <f t="shared" si="94"/>
        <v>1</v>
      </c>
      <c r="T37" s="19">
        <f t="shared" ref="T37" si="240">R37*S37</f>
        <v>213.10000000000036</v>
      </c>
      <c r="U37" s="19">
        <v>1.76</v>
      </c>
      <c r="V37" s="19">
        <v>0.94</v>
      </c>
      <c r="W37" s="25"/>
    </row>
    <row r="38" spans="1:23" ht="15.75" x14ac:dyDescent="0.25">
      <c r="A38" s="12">
        <v>30</v>
      </c>
      <c r="B38" s="22" t="s">
        <v>288</v>
      </c>
      <c r="C38" s="19" t="s">
        <v>150</v>
      </c>
      <c r="D38" s="19" t="s">
        <v>124</v>
      </c>
      <c r="E38" s="12">
        <v>3174.1</v>
      </c>
      <c r="F38" s="17">
        <f t="shared" ref="F38" si="241">E37</f>
        <v>3080.5</v>
      </c>
      <c r="G38" s="19">
        <f t="shared" ref="G38" si="242">E38-F38</f>
        <v>93.599999999999909</v>
      </c>
      <c r="H38" s="91">
        <f t="shared" si="85"/>
        <v>1</v>
      </c>
      <c r="I38" s="19">
        <f t="shared" ref="I38" si="243">G38*H38</f>
        <v>93.599999999999909</v>
      </c>
      <c r="J38" s="12">
        <v>3358.7</v>
      </c>
      <c r="K38" s="17">
        <f t="shared" ref="K38" si="244">J37</f>
        <v>3296.8</v>
      </c>
      <c r="L38" s="19">
        <f t="shared" ref="L38" si="245">J38-K38</f>
        <v>61.899999999999636</v>
      </c>
      <c r="M38" s="17">
        <f t="shared" si="89"/>
        <v>1</v>
      </c>
      <c r="N38" s="19">
        <f t="shared" ref="N38" si="246">L38*M38</f>
        <v>61.899999999999636</v>
      </c>
      <c r="O38" s="17">
        <f t="shared" ref="O38" si="247">N38-I38</f>
        <v>-31.700000000000273</v>
      </c>
      <c r="P38" s="12">
        <v>7648</v>
      </c>
      <c r="Q38" s="17">
        <f t="shared" ref="Q38" si="248">P37</f>
        <v>7532.8</v>
      </c>
      <c r="R38" s="19">
        <f t="shared" ref="R38" si="249">P38-Q38</f>
        <v>115.19999999999982</v>
      </c>
      <c r="S38" s="17">
        <f t="shared" si="94"/>
        <v>1</v>
      </c>
      <c r="T38" s="19">
        <f t="shared" ref="T38" si="250">R38*S38</f>
        <v>115.19999999999982</v>
      </c>
      <c r="U38" s="19">
        <v>0.89</v>
      </c>
      <c r="V38" s="19">
        <v>0.98</v>
      </c>
      <c r="W38" s="25"/>
    </row>
    <row r="39" spans="1:23" ht="15.75" x14ac:dyDescent="0.25">
      <c r="A39" s="12">
        <v>31</v>
      </c>
      <c r="B39" s="22" t="s">
        <v>289</v>
      </c>
      <c r="C39" s="19" t="s">
        <v>150</v>
      </c>
      <c r="D39" s="19" t="s">
        <v>124</v>
      </c>
      <c r="E39" s="12">
        <v>3269</v>
      </c>
      <c r="F39" s="17">
        <f t="shared" ref="F39" si="251">E38</f>
        <v>3174.1</v>
      </c>
      <c r="G39" s="19">
        <f t="shared" ref="G39" si="252">E39-F39</f>
        <v>94.900000000000091</v>
      </c>
      <c r="H39" s="91">
        <f t="shared" si="85"/>
        <v>1</v>
      </c>
      <c r="I39" s="19">
        <f t="shared" ref="I39" si="253">G39*H39</f>
        <v>94.900000000000091</v>
      </c>
      <c r="J39" s="12">
        <v>3445.4</v>
      </c>
      <c r="K39" s="17">
        <f t="shared" ref="K39" si="254">J38</f>
        <v>3358.7</v>
      </c>
      <c r="L39" s="19">
        <f t="shared" ref="L39" si="255">J39-K39</f>
        <v>86.700000000000273</v>
      </c>
      <c r="M39" s="17">
        <f t="shared" si="89"/>
        <v>1</v>
      </c>
      <c r="N39" s="19">
        <f t="shared" ref="N39" si="256">L39*M39</f>
        <v>86.700000000000273</v>
      </c>
      <c r="O39" s="17">
        <f t="shared" ref="O39" si="257">N39-I39</f>
        <v>-8.1999999999998181</v>
      </c>
      <c r="P39" s="12">
        <v>7805.3</v>
      </c>
      <c r="Q39" s="17">
        <f t="shared" ref="Q39" si="258">P38</f>
        <v>7648</v>
      </c>
      <c r="R39" s="19">
        <f t="shared" ref="R39" si="259">P39-Q39</f>
        <v>157.30000000000018</v>
      </c>
      <c r="S39" s="17">
        <f t="shared" si="94"/>
        <v>1</v>
      </c>
      <c r="T39" s="19">
        <f t="shared" ref="T39" si="260">R39*S39</f>
        <v>157.30000000000018</v>
      </c>
      <c r="U39" s="19">
        <v>0.78</v>
      </c>
      <c r="V39" s="19">
        <v>0.98</v>
      </c>
      <c r="W39" s="25"/>
    </row>
    <row r="40" spans="1:23" ht="15.75" x14ac:dyDescent="0.25">
      <c r="A40" s="12">
        <v>32</v>
      </c>
      <c r="B40" s="22" t="s">
        <v>290</v>
      </c>
      <c r="C40" s="19" t="s">
        <v>150</v>
      </c>
      <c r="D40" s="19" t="s">
        <v>124</v>
      </c>
      <c r="E40" s="12">
        <v>3374.3</v>
      </c>
      <c r="F40" s="17">
        <f t="shared" ref="F40" si="261">E39</f>
        <v>3269</v>
      </c>
      <c r="G40" s="19">
        <f t="shared" ref="G40" si="262">E40-F40</f>
        <v>105.30000000000018</v>
      </c>
      <c r="H40" s="91">
        <f t="shared" si="85"/>
        <v>1</v>
      </c>
      <c r="I40" s="19">
        <f t="shared" ref="I40" si="263">G40*H40</f>
        <v>105.30000000000018</v>
      </c>
      <c r="J40" s="12">
        <v>3541.4</v>
      </c>
      <c r="K40" s="17">
        <f t="shared" ref="K40" si="264">J39</f>
        <v>3445.4</v>
      </c>
      <c r="L40" s="19">
        <f t="shared" ref="L40" si="265">J40-K40</f>
        <v>96</v>
      </c>
      <c r="M40" s="17">
        <f t="shared" si="89"/>
        <v>1</v>
      </c>
      <c r="N40" s="19">
        <f t="shared" ref="N40" si="266">L40*M40</f>
        <v>96</v>
      </c>
      <c r="O40" s="17">
        <f t="shared" ref="O40" si="267">N40-I40</f>
        <v>-9.3000000000001819</v>
      </c>
      <c r="P40" s="12">
        <v>7977.3</v>
      </c>
      <c r="Q40" s="17">
        <f t="shared" ref="Q40" si="268">P39</f>
        <v>7805.3</v>
      </c>
      <c r="R40" s="19">
        <f t="shared" ref="R40" si="269">P40-Q40</f>
        <v>172</v>
      </c>
      <c r="S40" s="17">
        <f t="shared" si="94"/>
        <v>1</v>
      </c>
      <c r="T40" s="19">
        <f t="shared" ref="T40" si="270">R40*S40</f>
        <v>172</v>
      </c>
      <c r="U40" s="19">
        <v>0.87</v>
      </c>
      <c r="V40" s="19">
        <v>0.92</v>
      </c>
      <c r="W40" s="25"/>
    </row>
    <row r="41" spans="1:23" ht="15.75" x14ac:dyDescent="0.25">
      <c r="A41" s="12">
        <v>33</v>
      </c>
      <c r="B41" s="22" t="s">
        <v>291</v>
      </c>
      <c r="C41" s="19" t="s">
        <v>150</v>
      </c>
      <c r="D41" s="19" t="s">
        <v>124</v>
      </c>
      <c r="E41" s="12">
        <v>3471.4</v>
      </c>
      <c r="F41" s="17">
        <f t="shared" ref="F41:F48" si="271">E40</f>
        <v>3374.3</v>
      </c>
      <c r="G41" s="19">
        <f t="shared" ref="G41:G48" si="272">E41-F41</f>
        <v>97.099999999999909</v>
      </c>
      <c r="H41" s="91">
        <f t="shared" si="85"/>
        <v>1</v>
      </c>
      <c r="I41" s="19">
        <f t="shared" ref="I41:I48" si="273">G41*H41</f>
        <v>97.099999999999909</v>
      </c>
      <c r="J41" s="12">
        <v>3624.7</v>
      </c>
      <c r="K41" s="17">
        <f t="shared" ref="K41:K48" si="274">J40</f>
        <v>3541.4</v>
      </c>
      <c r="L41" s="19">
        <f t="shared" ref="L41:L48" si="275">J41-K41</f>
        <v>83.299999999999727</v>
      </c>
      <c r="M41" s="17">
        <f t="shared" si="89"/>
        <v>1</v>
      </c>
      <c r="N41" s="19">
        <f t="shared" ref="N41:N48" si="276">L41*M41</f>
        <v>83.299999999999727</v>
      </c>
      <c r="O41" s="17">
        <f t="shared" ref="O41:O48" si="277">N41-I41</f>
        <v>-13.800000000000182</v>
      </c>
      <c r="P41" s="12">
        <v>8156.6</v>
      </c>
      <c r="Q41" s="17">
        <f t="shared" ref="Q41:Q48" si="278">P40</f>
        <v>7977.3</v>
      </c>
      <c r="R41" s="19">
        <f t="shared" ref="R41:R48" si="279">P41-Q41</f>
        <v>179.30000000000018</v>
      </c>
      <c r="S41" s="17">
        <f t="shared" si="94"/>
        <v>1</v>
      </c>
      <c r="T41" s="19">
        <f t="shared" ref="T41:T48" si="280">R41*S41</f>
        <v>179.30000000000018</v>
      </c>
      <c r="U41" s="19">
        <v>1.83</v>
      </c>
      <c r="V41" s="19">
        <v>0.89</v>
      </c>
      <c r="W41" s="25"/>
    </row>
    <row r="42" spans="1:23" ht="15.75" x14ac:dyDescent="0.25">
      <c r="A42" s="12">
        <v>34</v>
      </c>
      <c r="B42" s="22" t="s">
        <v>292</v>
      </c>
      <c r="C42" s="19" t="s">
        <v>150</v>
      </c>
      <c r="D42" s="19" t="s">
        <v>124</v>
      </c>
      <c r="E42" s="12">
        <v>3574</v>
      </c>
      <c r="F42" s="17">
        <f t="shared" si="271"/>
        <v>3471.4</v>
      </c>
      <c r="G42" s="19">
        <f t="shared" si="272"/>
        <v>102.59999999999991</v>
      </c>
      <c r="H42" s="91">
        <f t="shared" si="85"/>
        <v>1</v>
      </c>
      <c r="I42" s="19">
        <f t="shared" si="273"/>
        <v>102.59999999999991</v>
      </c>
      <c r="J42" s="12">
        <v>3723</v>
      </c>
      <c r="K42" s="17">
        <f t="shared" si="274"/>
        <v>3624.7</v>
      </c>
      <c r="L42" s="19">
        <f t="shared" si="275"/>
        <v>98.300000000000182</v>
      </c>
      <c r="M42" s="17">
        <f t="shared" si="89"/>
        <v>1</v>
      </c>
      <c r="N42" s="19">
        <f t="shared" si="276"/>
        <v>98.300000000000182</v>
      </c>
      <c r="O42" s="17">
        <f t="shared" si="277"/>
        <v>-4.2999999999997272</v>
      </c>
      <c r="P42" s="12">
        <v>8346.6</v>
      </c>
      <c r="Q42" s="17">
        <f t="shared" si="278"/>
        <v>8156.6</v>
      </c>
      <c r="R42" s="19">
        <f t="shared" si="279"/>
        <v>190</v>
      </c>
      <c r="S42" s="17">
        <f t="shared" si="94"/>
        <v>1</v>
      </c>
      <c r="T42" s="19">
        <f t="shared" si="280"/>
        <v>190</v>
      </c>
      <c r="U42" s="19">
        <v>0.64</v>
      </c>
      <c r="V42" s="19">
        <v>0.92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150</v>
      </c>
      <c r="D44" s="19" t="s">
        <v>124</v>
      </c>
      <c r="E44" s="12">
        <v>3651.2</v>
      </c>
      <c r="F44" s="17">
        <f>E42</f>
        <v>3574</v>
      </c>
      <c r="G44" s="19">
        <f t="shared" si="272"/>
        <v>77.199999999999818</v>
      </c>
      <c r="H44" s="91">
        <f>H42</f>
        <v>1</v>
      </c>
      <c r="I44" s="19">
        <f t="shared" si="273"/>
        <v>77.199999999999818</v>
      </c>
      <c r="J44" s="12">
        <v>3849.5</v>
      </c>
      <c r="K44" s="17">
        <f>J42</f>
        <v>3723</v>
      </c>
      <c r="L44" s="19">
        <f t="shared" si="275"/>
        <v>126.5</v>
      </c>
      <c r="M44" s="17">
        <f>M42</f>
        <v>1</v>
      </c>
      <c r="N44" s="19">
        <f t="shared" si="276"/>
        <v>126.5</v>
      </c>
      <c r="O44" s="17">
        <f t="shared" si="277"/>
        <v>49.300000000000182</v>
      </c>
      <c r="P44" s="12">
        <v>8629</v>
      </c>
      <c r="Q44" s="17">
        <f>P42</f>
        <v>8346.6</v>
      </c>
      <c r="R44" s="19">
        <f t="shared" si="279"/>
        <v>282.39999999999964</v>
      </c>
      <c r="S44" s="17">
        <f>S42</f>
        <v>1</v>
      </c>
      <c r="T44" s="19">
        <f t="shared" si="280"/>
        <v>282.39999999999964</v>
      </c>
      <c r="U44" s="19">
        <v>0.85</v>
      </c>
      <c r="V44" s="19">
        <v>0.96</v>
      </c>
      <c r="W44" s="25"/>
    </row>
    <row r="45" spans="1:23" ht="15.75" x14ac:dyDescent="0.25">
      <c r="A45" s="12">
        <v>36</v>
      </c>
      <c r="B45" s="22" t="s">
        <v>294</v>
      </c>
      <c r="C45" s="19" t="s">
        <v>150</v>
      </c>
      <c r="D45" s="19" t="s">
        <v>124</v>
      </c>
      <c r="E45" s="12">
        <v>3750.6</v>
      </c>
      <c r="F45" s="17">
        <f t="shared" si="271"/>
        <v>3651.2</v>
      </c>
      <c r="G45" s="19">
        <f t="shared" si="272"/>
        <v>99.400000000000091</v>
      </c>
      <c r="H45" s="91">
        <f t="shared" si="85"/>
        <v>1</v>
      </c>
      <c r="I45" s="19">
        <f t="shared" si="273"/>
        <v>99.400000000000091</v>
      </c>
      <c r="J45" s="12">
        <v>3955.2</v>
      </c>
      <c r="K45" s="17">
        <f t="shared" si="274"/>
        <v>3849.5</v>
      </c>
      <c r="L45" s="19">
        <f t="shared" si="275"/>
        <v>105.69999999999982</v>
      </c>
      <c r="M45" s="17">
        <f t="shared" si="89"/>
        <v>1</v>
      </c>
      <c r="N45" s="19">
        <f t="shared" si="276"/>
        <v>105.69999999999982</v>
      </c>
      <c r="O45" s="17">
        <f t="shared" si="277"/>
        <v>6.2999999999997272</v>
      </c>
      <c r="P45" s="12">
        <v>8806.2999999999993</v>
      </c>
      <c r="Q45" s="17">
        <f t="shared" si="278"/>
        <v>8629</v>
      </c>
      <c r="R45" s="19">
        <f t="shared" si="279"/>
        <v>177.29999999999927</v>
      </c>
      <c r="S45" s="17">
        <f t="shared" si="94"/>
        <v>1</v>
      </c>
      <c r="T45" s="19">
        <f t="shared" si="280"/>
        <v>177.29999999999927</v>
      </c>
      <c r="U45" s="19">
        <v>1.01</v>
      </c>
      <c r="V45" s="19">
        <v>0.96</v>
      </c>
      <c r="W45" s="25"/>
    </row>
    <row r="46" spans="1:23" ht="15.75" x14ac:dyDescent="0.25">
      <c r="A46" s="12">
        <v>37</v>
      </c>
      <c r="B46" s="22" t="s">
        <v>295</v>
      </c>
      <c r="C46" s="19" t="s">
        <v>150</v>
      </c>
      <c r="D46" s="19" t="s">
        <v>124</v>
      </c>
      <c r="E46" s="12">
        <v>3845.6</v>
      </c>
      <c r="F46" s="17">
        <f t="shared" si="271"/>
        <v>3750.6</v>
      </c>
      <c r="G46" s="19">
        <f t="shared" si="272"/>
        <v>95</v>
      </c>
      <c r="H46" s="91">
        <f t="shared" si="85"/>
        <v>1</v>
      </c>
      <c r="I46" s="19">
        <f t="shared" si="273"/>
        <v>95</v>
      </c>
      <c r="J46" s="12">
        <v>4063.5</v>
      </c>
      <c r="K46" s="17">
        <f t="shared" si="274"/>
        <v>3955.2</v>
      </c>
      <c r="L46" s="19">
        <f t="shared" si="275"/>
        <v>108.30000000000018</v>
      </c>
      <c r="M46" s="17">
        <f t="shared" si="89"/>
        <v>1</v>
      </c>
      <c r="N46" s="19">
        <f t="shared" si="276"/>
        <v>108.30000000000018</v>
      </c>
      <c r="O46" s="17">
        <f t="shared" si="277"/>
        <v>13.300000000000182</v>
      </c>
      <c r="P46" s="12">
        <v>9017</v>
      </c>
      <c r="Q46" s="17">
        <f t="shared" si="278"/>
        <v>8806.2999999999993</v>
      </c>
      <c r="R46" s="19">
        <f t="shared" si="279"/>
        <v>210.70000000000073</v>
      </c>
      <c r="S46" s="17">
        <f t="shared" si="94"/>
        <v>1</v>
      </c>
      <c r="T46" s="19">
        <f t="shared" si="280"/>
        <v>210.70000000000073</v>
      </c>
      <c r="U46" s="19">
        <v>1.32</v>
      </c>
      <c r="V46" s="19">
        <v>0.94</v>
      </c>
      <c r="W46" s="25"/>
    </row>
    <row r="47" spans="1:23" ht="15.75" x14ac:dyDescent="0.25">
      <c r="A47" s="12">
        <v>38</v>
      </c>
      <c r="B47" s="22" t="s">
        <v>296</v>
      </c>
      <c r="C47" s="19" t="s">
        <v>150</v>
      </c>
      <c r="D47" s="19" t="s">
        <v>124</v>
      </c>
      <c r="E47" s="12">
        <v>3923.1</v>
      </c>
      <c r="F47" s="17">
        <f t="shared" si="271"/>
        <v>3845.6</v>
      </c>
      <c r="G47" s="19">
        <f t="shared" si="272"/>
        <v>77.5</v>
      </c>
      <c r="H47" s="91">
        <f t="shared" si="85"/>
        <v>1</v>
      </c>
      <c r="I47" s="19">
        <f t="shared" si="273"/>
        <v>77.5</v>
      </c>
      <c r="J47" s="12">
        <v>4149.7</v>
      </c>
      <c r="K47" s="17">
        <f t="shared" si="274"/>
        <v>4063.5</v>
      </c>
      <c r="L47" s="19">
        <f t="shared" si="275"/>
        <v>86.199999999999818</v>
      </c>
      <c r="M47" s="17">
        <f t="shared" si="89"/>
        <v>1</v>
      </c>
      <c r="N47" s="19">
        <f t="shared" si="276"/>
        <v>86.199999999999818</v>
      </c>
      <c r="O47" s="17">
        <f t="shared" si="277"/>
        <v>8.6999999999998181</v>
      </c>
      <c r="P47" s="12">
        <v>9192.7999999999993</v>
      </c>
      <c r="Q47" s="17">
        <f t="shared" si="278"/>
        <v>9017</v>
      </c>
      <c r="R47" s="19">
        <f t="shared" si="279"/>
        <v>175.79999999999927</v>
      </c>
      <c r="S47" s="17">
        <f t="shared" si="94"/>
        <v>1</v>
      </c>
      <c r="T47" s="19">
        <f t="shared" si="280"/>
        <v>175.79999999999927</v>
      </c>
      <c r="U47" s="19">
        <v>1.26</v>
      </c>
      <c r="V47" s="19">
        <v>0.96</v>
      </c>
      <c r="W47" s="25"/>
    </row>
    <row r="48" spans="1:23" ht="15.75" x14ac:dyDescent="0.25">
      <c r="A48" s="12">
        <v>39</v>
      </c>
      <c r="B48" s="22" t="s">
        <v>297</v>
      </c>
      <c r="C48" s="19" t="s">
        <v>150</v>
      </c>
      <c r="D48" s="19" t="s">
        <v>124</v>
      </c>
      <c r="E48" s="12">
        <v>3997.3</v>
      </c>
      <c r="F48" s="17">
        <f t="shared" si="271"/>
        <v>3923.1</v>
      </c>
      <c r="G48" s="19">
        <f t="shared" si="272"/>
        <v>74.200000000000273</v>
      </c>
      <c r="H48" s="91">
        <f t="shared" si="85"/>
        <v>1</v>
      </c>
      <c r="I48" s="19">
        <f t="shared" si="273"/>
        <v>74.200000000000273</v>
      </c>
      <c r="J48" s="12">
        <v>4242.2</v>
      </c>
      <c r="K48" s="17">
        <f t="shared" si="274"/>
        <v>4149.7</v>
      </c>
      <c r="L48" s="19">
        <f t="shared" si="275"/>
        <v>92.5</v>
      </c>
      <c r="M48" s="17">
        <f t="shared" si="89"/>
        <v>1</v>
      </c>
      <c r="N48" s="19">
        <f t="shared" si="276"/>
        <v>92.5</v>
      </c>
      <c r="O48" s="17">
        <f t="shared" si="277"/>
        <v>18.299999999999727</v>
      </c>
      <c r="P48" s="12">
        <v>9377</v>
      </c>
      <c r="Q48" s="17">
        <f t="shared" si="278"/>
        <v>9192.7999999999993</v>
      </c>
      <c r="R48" s="19">
        <f t="shared" si="279"/>
        <v>184.20000000000073</v>
      </c>
      <c r="S48" s="17">
        <f t="shared" si="94"/>
        <v>1</v>
      </c>
      <c r="T48" s="19">
        <f t="shared" si="280"/>
        <v>184.20000000000073</v>
      </c>
      <c r="U48" s="19">
        <v>1.4</v>
      </c>
      <c r="V48" s="19">
        <v>0.99</v>
      </c>
      <c r="W48" s="25"/>
    </row>
    <row r="49" spans="1:23" ht="15.75" x14ac:dyDescent="0.25">
      <c r="A49" s="12">
        <v>40</v>
      </c>
      <c r="B49" s="22" t="s">
        <v>298</v>
      </c>
      <c r="C49" s="19" t="s">
        <v>150</v>
      </c>
      <c r="D49" s="19" t="s">
        <v>124</v>
      </c>
      <c r="E49" s="12">
        <v>4082.4</v>
      </c>
      <c r="F49" s="17">
        <f t="shared" ref="F49" si="281">E48</f>
        <v>3997.3</v>
      </c>
      <c r="G49" s="19">
        <f t="shared" ref="G49" si="282">E49-F49</f>
        <v>85.099999999999909</v>
      </c>
      <c r="H49" s="91">
        <f t="shared" si="85"/>
        <v>1</v>
      </c>
      <c r="I49" s="19">
        <f t="shared" ref="I49" si="283">G49*H49</f>
        <v>85.099999999999909</v>
      </c>
      <c r="J49" s="12">
        <v>4346.3999999999996</v>
      </c>
      <c r="K49" s="17">
        <f t="shared" ref="K49" si="284">J48</f>
        <v>4242.2</v>
      </c>
      <c r="L49" s="19">
        <f t="shared" ref="L49" si="285">J49-K49</f>
        <v>104.19999999999982</v>
      </c>
      <c r="M49" s="17">
        <f t="shared" si="89"/>
        <v>1</v>
      </c>
      <c r="N49" s="19">
        <f t="shared" ref="N49" si="286">L49*M49</f>
        <v>104.19999999999982</v>
      </c>
      <c r="O49" s="17">
        <f t="shared" ref="O49" si="287">N49-I49</f>
        <v>19.099999999999909</v>
      </c>
      <c r="P49" s="12">
        <v>9576.7000000000007</v>
      </c>
      <c r="Q49" s="17">
        <f t="shared" ref="Q49" si="288">P48</f>
        <v>9377</v>
      </c>
      <c r="R49" s="19">
        <f t="shared" ref="R49" si="289">P49-Q49</f>
        <v>199.70000000000073</v>
      </c>
      <c r="S49" s="17">
        <f t="shared" si="94"/>
        <v>1</v>
      </c>
      <c r="T49" s="19">
        <f t="shared" ref="T49" si="290">R49*S49</f>
        <v>199.70000000000073</v>
      </c>
      <c r="U49" s="19">
        <v>0.63</v>
      </c>
      <c r="V49" s="19">
        <v>0.87</v>
      </c>
      <c r="W49" s="25"/>
    </row>
    <row r="50" spans="1:23" ht="15.75" x14ac:dyDescent="0.25">
      <c r="A50" s="12">
        <v>41</v>
      </c>
      <c r="B50" s="22" t="s">
        <v>299</v>
      </c>
      <c r="C50" s="19" t="s">
        <v>150</v>
      </c>
      <c r="D50" s="19" t="s">
        <v>124</v>
      </c>
      <c r="E50" s="12">
        <v>4163.6000000000004</v>
      </c>
      <c r="F50" s="17">
        <f t="shared" ref="F50" si="291">E49</f>
        <v>4082.4</v>
      </c>
      <c r="G50" s="19">
        <f t="shared" ref="G50" si="292">E50-F50</f>
        <v>81.200000000000273</v>
      </c>
      <c r="H50" s="91">
        <f t="shared" si="85"/>
        <v>1</v>
      </c>
      <c r="I50" s="19">
        <f t="shared" ref="I50" si="293">G50*H50</f>
        <v>81.200000000000273</v>
      </c>
      <c r="J50" s="12">
        <v>4457.7</v>
      </c>
      <c r="K50" s="17">
        <f t="shared" ref="K50" si="294">J49</f>
        <v>4346.3999999999996</v>
      </c>
      <c r="L50" s="19">
        <f t="shared" ref="L50" si="295">J50-K50</f>
        <v>111.30000000000018</v>
      </c>
      <c r="M50" s="17">
        <f t="shared" si="89"/>
        <v>1</v>
      </c>
      <c r="N50" s="19">
        <f t="shared" ref="N50" si="296">L50*M50</f>
        <v>111.30000000000018</v>
      </c>
      <c r="O50" s="17">
        <f t="shared" ref="O50" si="297">N50-I50</f>
        <v>30.099999999999909</v>
      </c>
      <c r="P50" s="12">
        <v>9779.7999999999993</v>
      </c>
      <c r="Q50" s="17">
        <f t="shared" ref="Q50" si="298">P49</f>
        <v>9576.7000000000007</v>
      </c>
      <c r="R50" s="19">
        <f t="shared" ref="R50" si="299">P50-Q50</f>
        <v>203.09999999999854</v>
      </c>
      <c r="S50" s="17">
        <f t="shared" si="94"/>
        <v>1</v>
      </c>
      <c r="T50" s="19">
        <f t="shared" ref="T50" si="300">R50*S50</f>
        <v>203.09999999999854</v>
      </c>
      <c r="U50" s="19">
        <v>1.7</v>
      </c>
      <c r="V50" s="19">
        <v>0.97</v>
      </c>
      <c r="W50" s="25"/>
    </row>
    <row r="51" spans="1:23" ht="15.75" x14ac:dyDescent="0.25">
      <c r="A51" s="12">
        <v>42</v>
      </c>
      <c r="B51" s="22" t="s">
        <v>300</v>
      </c>
      <c r="C51" s="19" t="s">
        <v>150</v>
      </c>
      <c r="D51" s="19" t="s">
        <v>124</v>
      </c>
      <c r="E51" s="12">
        <v>4239.5</v>
      </c>
      <c r="F51" s="17">
        <f t="shared" ref="F51:F54" si="301">E50</f>
        <v>4163.6000000000004</v>
      </c>
      <c r="G51" s="19">
        <f t="shared" ref="G51:G54" si="302">E51-F51</f>
        <v>75.899999999999636</v>
      </c>
      <c r="H51" s="91">
        <f t="shared" si="85"/>
        <v>1</v>
      </c>
      <c r="I51" s="19">
        <f t="shared" ref="I51:I54" si="303">G51*H51</f>
        <v>75.899999999999636</v>
      </c>
      <c r="J51" s="12">
        <v>4553</v>
      </c>
      <c r="K51" s="17">
        <f t="shared" ref="K51:K54" si="304">J50</f>
        <v>4457.7</v>
      </c>
      <c r="L51" s="19">
        <f t="shared" ref="L51:L54" si="305">J51-K51</f>
        <v>95.300000000000182</v>
      </c>
      <c r="M51" s="17">
        <f t="shared" si="89"/>
        <v>1</v>
      </c>
      <c r="N51" s="19">
        <f t="shared" ref="N51:N54" si="306">L51*M51</f>
        <v>95.300000000000182</v>
      </c>
      <c r="O51" s="17">
        <f t="shared" ref="O51:O54" si="307">N51-I51</f>
        <v>19.400000000000546</v>
      </c>
      <c r="P51" s="12">
        <v>9947.6</v>
      </c>
      <c r="Q51" s="17">
        <f t="shared" ref="Q51:Q54" si="308">P50</f>
        <v>9779.7999999999993</v>
      </c>
      <c r="R51" s="19">
        <f t="shared" ref="R51:R54" si="309">P51-Q51</f>
        <v>167.80000000000109</v>
      </c>
      <c r="S51" s="17">
        <f t="shared" si="94"/>
        <v>1</v>
      </c>
      <c r="T51" s="19">
        <f t="shared" ref="T51:T54" si="310">R51*S51</f>
        <v>167.80000000000109</v>
      </c>
      <c r="U51" s="19">
        <v>0.62</v>
      </c>
      <c r="V51" s="19">
        <v>0.95</v>
      </c>
      <c r="W51" s="25"/>
    </row>
    <row r="52" spans="1:23" ht="15.75" x14ac:dyDescent="0.25">
      <c r="A52" s="12">
        <v>43</v>
      </c>
      <c r="B52" s="22" t="s">
        <v>301</v>
      </c>
      <c r="C52" s="19" t="s">
        <v>150</v>
      </c>
      <c r="D52" s="19" t="s">
        <v>124</v>
      </c>
      <c r="E52" s="12">
        <v>4325.5</v>
      </c>
      <c r="F52" s="17">
        <f t="shared" si="301"/>
        <v>4239.5</v>
      </c>
      <c r="G52" s="19">
        <f t="shared" si="302"/>
        <v>86</v>
      </c>
      <c r="H52" s="91">
        <f t="shared" si="85"/>
        <v>1</v>
      </c>
      <c r="I52" s="19">
        <f t="shared" si="303"/>
        <v>86</v>
      </c>
      <c r="J52" s="12">
        <v>4648.5</v>
      </c>
      <c r="K52" s="17">
        <f t="shared" si="304"/>
        <v>4553</v>
      </c>
      <c r="L52" s="19">
        <f t="shared" si="305"/>
        <v>95.5</v>
      </c>
      <c r="M52" s="17">
        <f t="shared" si="89"/>
        <v>1</v>
      </c>
      <c r="N52" s="19">
        <f t="shared" si="306"/>
        <v>95.5</v>
      </c>
      <c r="O52" s="17">
        <f t="shared" si="307"/>
        <v>9.5</v>
      </c>
      <c r="P52" s="12">
        <v>10128.1</v>
      </c>
      <c r="Q52" s="17">
        <f t="shared" si="308"/>
        <v>9947.6</v>
      </c>
      <c r="R52" s="19">
        <f t="shared" si="309"/>
        <v>180.5</v>
      </c>
      <c r="S52" s="17">
        <f t="shared" si="94"/>
        <v>1</v>
      </c>
      <c r="T52" s="19">
        <f t="shared" si="310"/>
        <v>180.5</v>
      </c>
      <c r="U52" s="19">
        <v>0.94</v>
      </c>
      <c r="V52" s="19">
        <v>0.98</v>
      </c>
      <c r="W52" s="25"/>
    </row>
    <row r="53" spans="1:23" ht="15.75" x14ac:dyDescent="0.25">
      <c r="A53" s="12">
        <v>44</v>
      </c>
      <c r="B53" s="22" t="s">
        <v>302</v>
      </c>
      <c r="C53" s="19" t="s">
        <v>150</v>
      </c>
      <c r="D53" s="19" t="s">
        <v>124</v>
      </c>
      <c r="E53" s="12">
        <v>4394.1000000000004</v>
      </c>
      <c r="F53" s="17">
        <f t="shared" si="301"/>
        <v>4325.5</v>
      </c>
      <c r="G53" s="19">
        <f t="shared" si="302"/>
        <v>68.600000000000364</v>
      </c>
      <c r="H53" s="91">
        <f t="shared" si="85"/>
        <v>1</v>
      </c>
      <c r="I53" s="19">
        <f t="shared" si="303"/>
        <v>68.600000000000364</v>
      </c>
      <c r="J53" s="12">
        <v>4764.6000000000004</v>
      </c>
      <c r="K53" s="17">
        <f t="shared" si="304"/>
        <v>4648.5</v>
      </c>
      <c r="L53" s="19">
        <f t="shared" si="305"/>
        <v>116.10000000000036</v>
      </c>
      <c r="M53" s="17">
        <f t="shared" si="89"/>
        <v>1</v>
      </c>
      <c r="N53" s="19">
        <f t="shared" si="306"/>
        <v>116.10000000000036</v>
      </c>
      <c r="O53" s="17">
        <f t="shared" si="307"/>
        <v>47.5</v>
      </c>
      <c r="P53" s="12">
        <v>10316.299999999999</v>
      </c>
      <c r="Q53" s="17">
        <f t="shared" si="308"/>
        <v>10128.1</v>
      </c>
      <c r="R53" s="19">
        <f t="shared" si="309"/>
        <v>188.19999999999891</v>
      </c>
      <c r="S53" s="17">
        <f t="shared" si="94"/>
        <v>1</v>
      </c>
      <c r="T53" s="19">
        <f t="shared" si="310"/>
        <v>188.19999999999891</v>
      </c>
      <c r="U53" s="19">
        <v>0.76</v>
      </c>
      <c r="V53" s="19">
        <v>0.9</v>
      </c>
      <c r="W53" s="25"/>
    </row>
    <row r="54" spans="1:23" ht="15.75" x14ac:dyDescent="0.25">
      <c r="A54" s="105">
        <v>45</v>
      </c>
      <c r="B54" s="22" t="s">
        <v>303</v>
      </c>
      <c r="C54" s="111" t="s">
        <v>150</v>
      </c>
      <c r="D54" s="111" t="s">
        <v>124</v>
      </c>
      <c r="E54" s="105">
        <v>4471.6000000000004</v>
      </c>
      <c r="F54" s="106">
        <f t="shared" si="301"/>
        <v>4394.1000000000004</v>
      </c>
      <c r="G54" s="111">
        <f t="shared" si="302"/>
        <v>77.5</v>
      </c>
      <c r="H54" s="91">
        <f t="shared" si="85"/>
        <v>1</v>
      </c>
      <c r="I54" s="111">
        <f t="shared" si="303"/>
        <v>77.5</v>
      </c>
      <c r="J54" s="105">
        <v>4880.6000000000004</v>
      </c>
      <c r="K54" s="106">
        <f t="shared" si="304"/>
        <v>4764.6000000000004</v>
      </c>
      <c r="L54" s="111">
        <f t="shared" si="305"/>
        <v>116</v>
      </c>
      <c r="M54" s="106">
        <f t="shared" si="89"/>
        <v>1</v>
      </c>
      <c r="N54" s="111">
        <f t="shared" si="306"/>
        <v>116</v>
      </c>
      <c r="O54" s="106">
        <f t="shared" si="307"/>
        <v>38.5</v>
      </c>
      <c r="P54" s="105">
        <v>10514.4</v>
      </c>
      <c r="Q54" s="106">
        <f t="shared" si="308"/>
        <v>10316.299999999999</v>
      </c>
      <c r="R54" s="111">
        <f t="shared" si="309"/>
        <v>198.10000000000036</v>
      </c>
      <c r="S54" s="106">
        <f t="shared" si="94"/>
        <v>1</v>
      </c>
      <c r="T54" s="111">
        <f t="shared" si="310"/>
        <v>198.10000000000036</v>
      </c>
      <c r="U54" s="111">
        <v>1.36</v>
      </c>
      <c r="V54" s="111">
        <v>0.97</v>
      </c>
      <c r="W54" s="25"/>
    </row>
    <row r="55" spans="1:23" ht="15.75" x14ac:dyDescent="0.25">
      <c r="A55" s="120">
        <v>46</v>
      </c>
      <c r="B55" s="116" t="s">
        <v>305</v>
      </c>
      <c r="C55" s="118" t="s">
        <v>150</v>
      </c>
      <c r="D55" s="118" t="s">
        <v>124</v>
      </c>
      <c r="E55" s="120">
        <v>4556.3999999999996</v>
      </c>
      <c r="F55" s="119">
        <f t="shared" ref="F55" si="311">E54</f>
        <v>4471.6000000000004</v>
      </c>
      <c r="G55" s="118">
        <f t="shared" ref="G55" si="312">E55-F55</f>
        <v>84.799999999999272</v>
      </c>
      <c r="H55" s="91">
        <f t="shared" si="85"/>
        <v>1</v>
      </c>
      <c r="I55" s="118">
        <f t="shared" ref="I55" si="313">G55*H55</f>
        <v>84.799999999999272</v>
      </c>
      <c r="J55" s="120">
        <v>5050.2</v>
      </c>
      <c r="K55" s="119">
        <f t="shared" ref="K55" si="314">J54</f>
        <v>4880.6000000000004</v>
      </c>
      <c r="L55" s="118">
        <f t="shared" ref="L55" si="315">J55-K55</f>
        <v>169.59999999999945</v>
      </c>
      <c r="M55" s="119">
        <f t="shared" si="89"/>
        <v>1</v>
      </c>
      <c r="N55" s="118">
        <f t="shared" ref="N55" si="316">L55*M55</f>
        <v>169.59999999999945</v>
      </c>
      <c r="O55" s="119">
        <f t="shared" ref="O55" si="317">N55-I55</f>
        <v>84.800000000000182</v>
      </c>
      <c r="P55" s="120">
        <v>10765.5</v>
      </c>
      <c r="Q55" s="119">
        <f t="shared" ref="Q55" si="318">P54</f>
        <v>10514.4</v>
      </c>
      <c r="R55" s="118">
        <f t="shared" ref="R55" si="319">P55-Q55</f>
        <v>251.10000000000036</v>
      </c>
      <c r="S55" s="119">
        <f t="shared" si="94"/>
        <v>1</v>
      </c>
      <c r="T55" s="118">
        <f t="shared" ref="T55" si="320">R55*S55</f>
        <v>251.10000000000036</v>
      </c>
      <c r="U55" s="118">
        <v>0.65</v>
      </c>
      <c r="V55" s="118">
        <v>0.96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150</v>
      </c>
      <c r="D57" s="129" t="s">
        <v>124</v>
      </c>
      <c r="E57" s="126">
        <v>4638.5</v>
      </c>
      <c r="F57" s="127">
        <f t="shared" ref="F57" si="321">E55</f>
        <v>4556.3999999999996</v>
      </c>
      <c r="G57" s="129">
        <f t="shared" ref="G57" si="322">E57-F57</f>
        <v>82.100000000000364</v>
      </c>
      <c r="H57" s="91">
        <f>H55</f>
        <v>1</v>
      </c>
      <c r="I57" s="129">
        <f t="shared" ref="I57" si="323">G57*H57</f>
        <v>82.100000000000364</v>
      </c>
      <c r="J57" s="126">
        <v>5168.3999999999996</v>
      </c>
      <c r="K57" s="127">
        <f t="shared" ref="K57" si="324">J55</f>
        <v>5050.2</v>
      </c>
      <c r="L57" s="129">
        <f t="shared" ref="L57" si="325">J57-K57</f>
        <v>118.19999999999982</v>
      </c>
      <c r="M57" s="127">
        <f>M55</f>
        <v>1</v>
      </c>
      <c r="N57" s="129">
        <f t="shared" ref="N57" si="326">L57*M57</f>
        <v>118.19999999999982</v>
      </c>
      <c r="O57" s="127">
        <f t="shared" ref="O57" si="327">N57-I57</f>
        <v>36.099999999999454</v>
      </c>
      <c r="P57" s="126">
        <v>11012.9</v>
      </c>
      <c r="Q57" s="127">
        <f t="shared" ref="Q57" si="328">P55</f>
        <v>10765.5</v>
      </c>
      <c r="R57" s="129">
        <f t="shared" ref="R57" si="329">P57-Q57</f>
        <v>247.39999999999964</v>
      </c>
      <c r="S57" s="127">
        <f>S55</f>
        <v>1</v>
      </c>
      <c r="T57" s="129">
        <f t="shared" ref="T57" si="330">R57*S57</f>
        <v>247.39999999999964</v>
      </c>
      <c r="U57" s="129">
        <v>0.71</v>
      </c>
      <c r="V57" s="129">
        <v>0.96</v>
      </c>
      <c r="W57" s="25"/>
    </row>
    <row r="58" spans="1:23" ht="15.75" x14ac:dyDescent="0.25">
      <c r="A58" s="126">
        <v>48</v>
      </c>
      <c r="B58" s="116" t="s">
        <v>307</v>
      </c>
      <c r="C58" s="129" t="s">
        <v>150</v>
      </c>
      <c r="D58" s="129" t="s">
        <v>124</v>
      </c>
      <c r="E58" s="135">
        <v>4729.6000000000004</v>
      </c>
      <c r="F58" s="136">
        <f t="shared" ref="F58" si="331">E57</f>
        <v>4638.5</v>
      </c>
      <c r="G58" s="138">
        <f t="shared" ref="G58" si="332">E58-F58</f>
        <v>91.100000000000364</v>
      </c>
      <c r="H58" s="91">
        <f t="shared" si="85"/>
        <v>1</v>
      </c>
      <c r="I58" s="138">
        <f t="shared" ref="I58" si="333">G58*H58</f>
        <v>91.100000000000364</v>
      </c>
      <c r="J58" s="135">
        <v>5319.4</v>
      </c>
      <c r="K58" s="136">
        <f t="shared" ref="K58" si="334">J57</f>
        <v>5168.3999999999996</v>
      </c>
      <c r="L58" s="138">
        <f t="shared" ref="L58" si="335">J58-K58</f>
        <v>151</v>
      </c>
      <c r="M58" s="136">
        <f t="shared" si="89"/>
        <v>1</v>
      </c>
      <c r="N58" s="138">
        <f t="shared" ref="N58" si="336">L58*M58</f>
        <v>151</v>
      </c>
      <c r="O58" s="136">
        <f t="shared" ref="O58" si="337">N58-I58</f>
        <v>59.899999999999636</v>
      </c>
      <c r="P58" s="135">
        <v>11264.1</v>
      </c>
      <c r="Q58" s="136">
        <f t="shared" ref="Q58" si="338">P57</f>
        <v>11012.9</v>
      </c>
      <c r="R58" s="138">
        <f t="shared" ref="R58" si="339">P58-Q58</f>
        <v>251.20000000000073</v>
      </c>
      <c r="S58" s="136">
        <f t="shared" si="94"/>
        <v>1</v>
      </c>
      <c r="T58" s="138">
        <f t="shared" ref="T58" si="340">R58*S58</f>
        <v>251.20000000000073</v>
      </c>
      <c r="U58" s="138">
        <v>0.95</v>
      </c>
      <c r="V58" s="138">
        <v>0.98</v>
      </c>
      <c r="W58" s="25"/>
    </row>
    <row r="59" spans="1:23" ht="15.75" x14ac:dyDescent="0.25">
      <c r="A59" s="135">
        <v>49</v>
      </c>
      <c r="B59" s="116" t="s">
        <v>309</v>
      </c>
      <c r="C59" s="138" t="s">
        <v>150</v>
      </c>
      <c r="D59" s="138" t="s">
        <v>124</v>
      </c>
      <c r="E59" s="135">
        <v>4809.5</v>
      </c>
      <c r="F59" s="136">
        <f t="shared" ref="F59" si="341">E58</f>
        <v>4729.6000000000004</v>
      </c>
      <c r="G59" s="138">
        <f t="shared" ref="G59:G61" si="342">E59-F59</f>
        <v>79.899999999999636</v>
      </c>
      <c r="H59" s="91">
        <f t="shared" si="85"/>
        <v>1</v>
      </c>
      <c r="I59" s="138">
        <f t="shared" ref="I59:I61" si="343">G59*H59</f>
        <v>79.899999999999636</v>
      </c>
      <c r="J59" s="135">
        <v>5435.1</v>
      </c>
      <c r="K59" s="136">
        <f t="shared" ref="K59" si="344">J58</f>
        <v>5319.4</v>
      </c>
      <c r="L59" s="138">
        <f t="shared" ref="L59:L61" si="345">J59-K59</f>
        <v>115.70000000000073</v>
      </c>
      <c r="M59" s="136">
        <f t="shared" si="89"/>
        <v>1</v>
      </c>
      <c r="N59" s="138">
        <f t="shared" ref="N59:N61" si="346">L59*M59</f>
        <v>115.70000000000073</v>
      </c>
      <c r="O59" s="136">
        <f t="shared" ref="O59:O61" si="347">N59-I59</f>
        <v>35.800000000001091</v>
      </c>
      <c r="P59" s="135">
        <v>11480.1</v>
      </c>
      <c r="Q59" s="136">
        <f t="shared" ref="Q59" si="348">P58</f>
        <v>11264.1</v>
      </c>
      <c r="R59" s="138">
        <f t="shared" ref="R59:R61" si="349">P59-Q59</f>
        <v>216</v>
      </c>
      <c r="S59" s="136">
        <f t="shared" si="94"/>
        <v>1</v>
      </c>
      <c r="T59" s="138">
        <f t="shared" ref="T59:T61" si="350">R59*S59</f>
        <v>216</v>
      </c>
      <c r="U59" s="138">
        <v>0.77</v>
      </c>
      <c r="V59" s="138">
        <v>0.93</v>
      </c>
      <c r="W59" s="25"/>
    </row>
    <row r="60" spans="1:23" ht="15.75" x14ac:dyDescent="0.25">
      <c r="A60" s="146">
        <v>50</v>
      </c>
      <c r="B60" s="116" t="s">
        <v>310</v>
      </c>
      <c r="C60" s="144" t="s">
        <v>150</v>
      </c>
      <c r="D60" s="144" t="s">
        <v>124</v>
      </c>
      <c r="E60" s="146">
        <v>4883.2</v>
      </c>
      <c r="F60" s="145">
        <f t="shared" ref="F60" si="351">E58</f>
        <v>4729.6000000000004</v>
      </c>
      <c r="G60" s="144">
        <f t="shared" si="342"/>
        <v>153.59999999999945</v>
      </c>
      <c r="H60" s="91">
        <f>H58</f>
        <v>1</v>
      </c>
      <c r="I60" s="144">
        <f t="shared" si="343"/>
        <v>153.59999999999945</v>
      </c>
      <c r="J60" s="146">
        <v>5517.4</v>
      </c>
      <c r="K60" s="145">
        <f t="shared" ref="K60" si="352">J58</f>
        <v>5319.4</v>
      </c>
      <c r="L60" s="144">
        <f t="shared" si="345"/>
        <v>198</v>
      </c>
      <c r="M60" s="145">
        <f>M58</f>
        <v>1</v>
      </c>
      <c r="N60" s="144">
        <f t="shared" si="346"/>
        <v>198</v>
      </c>
      <c r="O60" s="145">
        <f t="shared" si="347"/>
        <v>44.400000000000546</v>
      </c>
      <c r="P60" s="146">
        <v>11646</v>
      </c>
      <c r="Q60" s="145">
        <f t="shared" ref="Q60" si="353">P58</f>
        <v>11264.1</v>
      </c>
      <c r="R60" s="144">
        <f t="shared" si="349"/>
        <v>381.89999999999964</v>
      </c>
      <c r="S60" s="145">
        <f>S58</f>
        <v>1</v>
      </c>
      <c r="T60" s="144">
        <f t="shared" si="350"/>
        <v>381.89999999999964</v>
      </c>
      <c r="U60" s="144">
        <v>0.66</v>
      </c>
      <c r="V60" s="144">
        <v>0.54</v>
      </c>
      <c r="W60" s="25"/>
    </row>
    <row r="61" spans="1:23" ht="15.75" x14ac:dyDescent="0.25">
      <c r="A61" s="151">
        <v>51</v>
      </c>
      <c r="B61" s="116" t="s">
        <v>316</v>
      </c>
      <c r="C61" s="149" t="s">
        <v>150</v>
      </c>
      <c r="D61" s="149" t="s">
        <v>124</v>
      </c>
      <c r="E61" s="151">
        <v>4957.1000000000004</v>
      </c>
      <c r="F61" s="150">
        <v>4883.2</v>
      </c>
      <c r="G61" s="149">
        <f t="shared" si="342"/>
        <v>73.900000000000546</v>
      </c>
      <c r="H61" s="91">
        <f>H58</f>
        <v>1</v>
      </c>
      <c r="I61" s="149">
        <f t="shared" si="343"/>
        <v>73.900000000000546</v>
      </c>
      <c r="J61" s="151">
        <v>5627</v>
      </c>
      <c r="K61" s="150">
        <v>5517.4</v>
      </c>
      <c r="L61" s="149">
        <f t="shared" si="345"/>
        <v>109.60000000000036</v>
      </c>
      <c r="M61" s="150">
        <f>M58</f>
        <v>1</v>
      </c>
      <c r="N61" s="149">
        <f t="shared" si="346"/>
        <v>109.60000000000036</v>
      </c>
      <c r="O61" s="150">
        <f t="shared" si="347"/>
        <v>35.699999999999818</v>
      </c>
      <c r="P61" s="151">
        <v>11850</v>
      </c>
      <c r="Q61" s="150">
        <v>11646</v>
      </c>
      <c r="R61" s="149">
        <f t="shared" si="349"/>
        <v>204</v>
      </c>
      <c r="S61" s="150">
        <f>S58</f>
        <v>1</v>
      </c>
      <c r="T61" s="149">
        <f t="shared" si="350"/>
        <v>204</v>
      </c>
      <c r="U61" s="149">
        <v>1.25</v>
      </c>
      <c r="V61" s="149">
        <v>0.81</v>
      </c>
      <c r="W61" s="25"/>
    </row>
    <row r="62" spans="1:23" ht="15.75" x14ac:dyDescent="0.25">
      <c r="A62" s="155">
        <v>52</v>
      </c>
      <c r="B62" s="116" t="s">
        <v>319</v>
      </c>
      <c r="C62" s="142" t="s">
        <v>150</v>
      </c>
      <c r="D62" s="142" t="s">
        <v>124</v>
      </c>
      <c r="E62" s="139">
        <v>5034.5</v>
      </c>
      <c r="F62" s="140">
        <v>4957.1000000000004</v>
      </c>
      <c r="G62" s="142">
        <f t="shared" ref="G62:G64" si="354">E62-F62</f>
        <v>77.399999999999636</v>
      </c>
      <c r="H62" s="91">
        <f>H59</f>
        <v>1</v>
      </c>
      <c r="I62" s="142">
        <f t="shared" ref="I62:I64" si="355">G62*H62</f>
        <v>77.399999999999636</v>
      </c>
      <c r="J62" s="139">
        <v>5713.7</v>
      </c>
      <c r="K62" s="140">
        <v>5627</v>
      </c>
      <c r="L62" s="142">
        <f t="shared" ref="L62:L64" si="356">J62-K62</f>
        <v>86.699999999999818</v>
      </c>
      <c r="M62" s="140">
        <f>M59</f>
        <v>1</v>
      </c>
      <c r="N62" s="142">
        <f t="shared" ref="N62:N64" si="357">L62*M62</f>
        <v>86.699999999999818</v>
      </c>
      <c r="O62" s="140">
        <f t="shared" ref="O62:O64" si="358">N62-I62</f>
        <v>9.3000000000001819</v>
      </c>
      <c r="P62" s="139">
        <v>12023</v>
      </c>
      <c r="Q62" s="140">
        <v>11850</v>
      </c>
      <c r="R62" s="142">
        <f t="shared" ref="R62:R64" si="359">P62-Q62</f>
        <v>173</v>
      </c>
      <c r="S62" s="140">
        <f>S59</f>
        <v>1</v>
      </c>
      <c r="T62" s="142">
        <f t="shared" ref="T62:T64" si="360">R62*S62</f>
        <v>173</v>
      </c>
      <c r="U62" s="142">
        <v>1.51</v>
      </c>
      <c r="V62" s="142">
        <v>0.81</v>
      </c>
      <c r="W62" s="25"/>
    </row>
    <row r="63" spans="1:23" ht="15.75" x14ac:dyDescent="0.25">
      <c r="A63" s="170">
        <v>53</v>
      </c>
      <c r="B63" s="116" t="s">
        <v>321</v>
      </c>
      <c r="C63" s="168" t="s">
        <v>150</v>
      </c>
      <c r="D63" s="168" t="s">
        <v>124</v>
      </c>
      <c r="E63" s="170">
        <v>5115.6000000000004</v>
      </c>
      <c r="F63" s="170">
        <v>5034.5</v>
      </c>
      <c r="G63" s="168">
        <f t="shared" si="354"/>
        <v>81.100000000000364</v>
      </c>
      <c r="H63" s="91">
        <f>H59</f>
        <v>1</v>
      </c>
      <c r="I63" s="168">
        <f t="shared" si="355"/>
        <v>81.100000000000364</v>
      </c>
      <c r="J63" s="170">
        <v>5790.7</v>
      </c>
      <c r="K63" s="170">
        <v>5713.7</v>
      </c>
      <c r="L63" s="168">
        <f t="shared" si="356"/>
        <v>77</v>
      </c>
      <c r="M63" s="169">
        <f>M59</f>
        <v>1</v>
      </c>
      <c r="N63" s="168">
        <f t="shared" si="357"/>
        <v>77</v>
      </c>
      <c r="O63" s="169">
        <f t="shared" si="358"/>
        <v>-4.1000000000003638</v>
      </c>
      <c r="P63" s="170">
        <v>12189.4</v>
      </c>
      <c r="Q63" s="170">
        <v>12023</v>
      </c>
      <c r="R63" s="168">
        <f t="shared" si="359"/>
        <v>166.39999999999964</v>
      </c>
      <c r="S63" s="169">
        <f>S59</f>
        <v>1</v>
      </c>
      <c r="T63" s="168">
        <f t="shared" si="360"/>
        <v>166.39999999999964</v>
      </c>
      <c r="U63" s="168">
        <v>0.79</v>
      </c>
      <c r="V63" s="168">
        <v>0.76</v>
      </c>
      <c r="W63" s="25"/>
    </row>
    <row r="64" spans="1:23" ht="15.75" x14ac:dyDescent="0.25">
      <c r="A64" s="175">
        <v>54</v>
      </c>
      <c r="B64" s="116" t="s">
        <v>327</v>
      </c>
      <c r="C64" s="178" t="s">
        <v>150</v>
      </c>
      <c r="D64" s="178" t="s">
        <v>124</v>
      </c>
      <c r="E64" s="175">
        <v>5198.3</v>
      </c>
      <c r="F64" s="175">
        <v>5115.6000000000004</v>
      </c>
      <c r="G64" s="178">
        <f t="shared" si="354"/>
        <v>82.699999999999818</v>
      </c>
      <c r="H64" s="91">
        <f>H59</f>
        <v>1</v>
      </c>
      <c r="I64" s="178">
        <f t="shared" si="355"/>
        <v>82.699999999999818</v>
      </c>
      <c r="J64" s="175">
        <v>5850.6</v>
      </c>
      <c r="K64" s="175">
        <v>5790.7</v>
      </c>
      <c r="L64" s="178">
        <f t="shared" si="356"/>
        <v>59.900000000000546</v>
      </c>
      <c r="M64" s="176">
        <f>M59</f>
        <v>1</v>
      </c>
      <c r="N64" s="178">
        <f t="shared" si="357"/>
        <v>59.900000000000546</v>
      </c>
      <c r="O64" s="176">
        <f t="shared" si="358"/>
        <v>-22.799999999999272</v>
      </c>
      <c r="P64" s="175">
        <v>12317.2</v>
      </c>
      <c r="Q64" s="175">
        <v>12189</v>
      </c>
      <c r="R64" s="178">
        <f t="shared" si="359"/>
        <v>128.20000000000073</v>
      </c>
      <c r="S64" s="176">
        <f>S59</f>
        <v>1</v>
      </c>
      <c r="T64" s="178">
        <f t="shared" si="360"/>
        <v>128.20000000000073</v>
      </c>
      <c r="U64" s="178">
        <v>0.79</v>
      </c>
      <c r="V64" s="178">
        <v>0.76</v>
      </c>
      <c r="W64" s="25"/>
    </row>
    <row r="65" spans="1:23" ht="15.75" x14ac:dyDescent="0.25">
      <c r="A65" s="155">
        <v>55</v>
      </c>
      <c r="B65" s="116" t="s">
        <v>330</v>
      </c>
      <c r="C65" s="158" t="s">
        <v>150</v>
      </c>
      <c r="D65" s="158" t="s">
        <v>124</v>
      </c>
      <c r="E65" s="155">
        <v>5286.6</v>
      </c>
      <c r="F65" s="175">
        <v>5198.3</v>
      </c>
      <c r="G65" s="158">
        <f t="shared" ref="G65:G66" si="361">E65-F65</f>
        <v>88.300000000000182</v>
      </c>
      <c r="H65" s="91">
        <f>H60</f>
        <v>1</v>
      </c>
      <c r="I65" s="158">
        <f t="shared" ref="I65:I66" si="362">G65*H65</f>
        <v>88.300000000000182</v>
      </c>
      <c r="J65" s="155">
        <v>5901</v>
      </c>
      <c r="K65" s="175">
        <v>5850.6</v>
      </c>
      <c r="L65" s="158">
        <f t="shared" ref="L65:L66" si="363">J65-K65</f>
        <v>50.399999999999636</v>
      </c>
      <c r="M65" s="156">
        <f>M60</f>
        <v>1</v>
      </c>
      <c r="N65" s="158">
        <f t="shared" ref="N65:N66" si="364">L65*M65</f>
        <v>50.399999999999636</v>
      </c>
      <c r="O65" s="156">
        <f t="shared" ref="O65:O66" si="365">N65-I65</f>
        <v>-37.900000000000546</v>
      </c>
      <c r="P65" s="155">
        <v>12437.9</v>
      </c>
      <c r="Q65" s="175">
        <v>12317.2</v>
      </c>
      <c r="R65" s="158">
        <f t="shared" ref="R65:R66" si="366">P65-Q65</f>
        <v>120.69999999999891</v>
      </c>
      <c r="S65" s="156">
        <f>S60</f>
        <v>1</v>
      </c>
      <c r="T65" s="158">
        <f t="shared" ref="T65:T66" si="367">R65*S65</f>
        <v>120.69999999999891</v>
      </c>
      <c r="U65" s="158">
        <v>1.81</v>
      </c>
      <c r="V65" s="158">
        <v>0.66</v>
      </c>
      <c r="W65" s="25"/>
    </row>
    <row r="66" spans="1:23" ht="15.75" x14ac:dyDescent="0.25">
      <c r="A66" s="183">
        <v>55</v>
      </c>
      <c r="B66" s="116" t="s">
        <v>331</v>
      </c>
      <c r="C66" s="186" t="s">
        <v>150</v>
      </c>
      <c r="D66" s="186" t="s">
        <v>124</v>
      </c>
      <c r="E66" s="183">
        <v>5390.2</v>
      </c>
      <c r="F66" s="183">
        <v>5286.6</v>
      </c>
      <c r="G66" s="186">
        <f t="shared" si="361"/>
        <v>103.59999999999945</v>
      </c>
      <c r="H66" s="91">
        <f>H60</f>
        <v>1</v>
      </c>
      <c r="I66" s="186">
        <f t="shared" si="362"/>
        <v>103.59999999999945</v>
      </c>
      <c r="J66" s="183">
        <v>5946.5</v>
      </c>
      <c r="K66" s="183">
        <v>5901</v>
      </c>
      <c r="L66" s="186">
        <f t="shared" si="363"/>
        <v>45.5</v>
      </c>
      <c r="M66" s="184">
        <f>M60</f>
        <v>1</v>
      </c>
      <c r="N66" s="186">
        <f t="shared" si="364"/>
        <v>45.5</v>
      </c>
      <c r="O66" s="184">
        <f t="shared" si="365"/>
        <v>-58.099999999999454</v>
      </c>
      <c r="P66" s="183">
        <v>12559.4</v>
      </c>
      <c r="Q66" s="183">
        <v>12437.9</v>
      </c>
      <c r="R66" s="186">
        <f t="shared" si="366"/>
        <v>121.5</v>
      </c>
      <c r="S66" s="184">
        <f>S60</f>
        <v>1</v>
      </c>
      <c r="T66" s="186">
        <f t="shared" si="367"/>
        <v>121.5</v>
      </c>
      <c r="U66" s="186">
        <v>0.66</v>
      </c>
      <c r="V66" s="186">
        <v>0.82</v>
      </c>
      <c r="W66" s="25"/>
    </row>
    <row r="67" spans="1:23" ht="15.75" x14ac:dyDescent="0.25">
      <c r="A67" s="182">
        <v>55</v>
      </c>
      <c r="B67" s="116" t="s">
        <v>332</v>
      </c>
      <c r="C67" s="180" t="s">
        <v>150</v>
      </c>
      <c r="D67" s="180" t="s">
        <v>124</v>
      </c>
      <c r="E67" s="182">
        <v>5486.6</v>
      </c>
      <c r="F67" s="182">
        <v>5390.2</v>
      </c>
      <c r="G67" s="180">
        <f t="shared" ref="G67" si="368">E67-F67</f>
        <v>96.400000000000546</v>
      </c>
      <c r="H67" s="91">
        <f>H61</f>
        <v>1</v>
      </c>
      <c r="I67" s="180">
        <f t="shared" ref="I67" si="369">G67*H67</f>
        <v>96.400000000000546</v>
      </c>
      <c r="J67" s="182">
        <v>6001</v>
      </c>
      <c r="K67" s="182">
        <v>5946.5</v>
      </c>
      <c r="L67" s="180">
        <f t="shared" ref="L67" si="370">J67-K67</f>
        <v>54.5</v>
      </c>
      <c r="M67" s="181">
        <f>M61</f>
        <v>1</v>
      </c>
      <c r="N67" s="180">
        <f t="shared" ref="N67" si="371">L67*M67</f>
        <v>54.5</v>
      </c>
      <c r="O67" s="181">
        <f t="shared" ref="O67" si="372">N67-I67</f>
        <v>-41.900000000000546</v>
      </c>
      <c r="P67" s="182">
        <v>12690.6</v>
      </c>
      <c r="Q67" s="182">
        <v>12559</v>
      </c>
      <c r="R67" s="180">
        <f t="shared" ref="R67" si="373">P67-Q67</f>
        <v>131.60000000000036</v>
      </c>
      <c r="S67" s="181">
        <f>S61</f>
        <v>1</v>
      </c>
      <c r="T67" s="180">
        <f t="shared" ref="T67" si="374">R67*S67</f>
        <v>131.60000000000036</v>
      </c>
      <c r="U67" s="180">
        <v>1.3</v>
      </c>
      <c r="V67" s="180">
        <v>0.81</v>
      </c>
      <c r="W67" s="25"/>
    </row>
    <row r="68" spans="1:23" ht="15.75" x14ac:dyDescent="0.25">
      <c r="A68" s="37"/>
      <c r="B68" s="78"/>
      <c r="C68" s="24"/>
      <c r="D68" s="24"/>
      <c r="E68" s="37"/>
      <c r="F68" s="38"/>
      <c r="G68" s="24"/>
      <c r="H68" s="38"/>
      <c r="I68" s="24"/>
      <c r="J68" s="37"/>
      <c r="K68" s="38"/>
      <c r="L68" s="24"/>
      <c r="M68" s="38"/>
      <c r="N68" s="24"/>
      <c r="O68" s="38"/>
      <c r="P68" s="37"/>
      <c r="Q68" s="38"/>
      <c r="R68" s="24"/>
      <c r="S68" s="38"/>
      <c r="T68" s="24"/>
      <c r="U68" s="24"/>
      <c r="V68" s="24"/>
      <c r="W68" s="25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38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38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1">
        <v>1</v>
      </c>
      <c r="B71" s="31" t="s">
        <v>23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37"/>
      <c r="Q71" s="38"/>
      <c r="R71" s="24"/>
      <c r="S71" s="38"/>
      <c r="T71" s="24"/>
      <c r="U71" s="25"/>
      <c r="V71" s="25"/>
      <c r="W71" s="25"/>
    </row>
    <row r="72" spans="1:23" ht="15.75" x14ac:dyDescent="0.25">
      <c r="A72" s="31">
        <v>2</v>
      </c>
      <c r="B72" s="31" t="s">
        <v>24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37"/>
      <c r="Q72" s="38"/>
      <c r="R72" s="24"/>
      <c r="S72" s="38"/>
      <c r="T72" s="24"/>
      <c r="U72" s="25"/>
      <c r="V72" s="25"/>
      <c r="W72" s="25"/>
    </row>
    <row r="73" spans="1:23" ht="15.75" x14ac:dyDescent="0.25">
      <c r="A73" s="31">
        <v>3</v>
      </c>
      <c r="B73" s="31" t="s">
        <v>25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37"/>
      <c r="Q73" s="38"/>
      <c r="R73" s="24"/>
      <c r="S73" s="38"/>
      <c r="T73" s="24"/>
      <c r="U73" s="25"/>
      <c r="V73" s="25"/>
      <c r="W73" s="25"/>
    </row>
    <row r="76" spans="1:23" x14ac:dyDescent="0.25">
      <c r="R76" t="s">
        <v>65</v>
      </c>
    </row>
  </sheetData>
  <mergeCells count="20">
    <mergeCell ref="J5:N5"/>
    <mergeCell ref="O5:O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74"/>
  <sheetViews>
    <sheetView view="pageBreakPreview" topLeftCell="A58" zoomScale="85" zoomScaleNormal="85" zoomScaleSheetLayoutView="85" workbookViewId="0">
      <selection activeCell="L71" sqref="L71"/>
    </sheetView>
  </sheetViews>
  <sheetFormatPr defaultRowHeight="15" x14ac:dyDescent="0.25"/>
  <cols>
    <col min="1" max="1" width="7.5703125" customWidth="1"/>
    <col min="2" max="2" width="13" customWidth="1"/>
    <col min="3" max="3" width="16.4257812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11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153</v>
      </c>
      <c r="C3" s="207"/>
      <c r="D3" s="12" t="s">
        <v>6</v>
      </c>
      <c r="E3" s="201" t="s">
        <v>261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132</v>
      </c>
      <c r="W3" s="25"/>
    </row>
    <row r="4" spans="1:23" ht="15.75" x14ac:dyDescent="0.25">
      <c r="A4" s="12" t="s">
        <v>0</v>
      </c>
      <c r="B4" s="216" t="s">
        <v>261</v>
      </c>
      <c r="C4" s="216"/>
      <c r="D4" s="12" t="s">
        <v>9</v>
      </c>
      <c r="E4" s="207">
        <v>9740107833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 t="s">
        <v>142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156</v>
      </c>
      <c r="D7" s="19" t="s">
        <v>124</v>
      </c>
      <c r="E7" s="17">
        <v>133.80000000000001</v>
      </c>
      <c r="F7" s="17">
        <v>0.1</v>
      </c>
      <c r="G7" s="19">
        <f t="shared" ref="G7" si="0">E7-F7</f>
        <v>133.70000000000002</v>
      </c>
      <c r="H7" s="17">
        <v>1</v>
      </c>
      <c r="I7" s="19">
        <f t="shared" ref="I7" si="1">G7*H7</f>
        <v>133.70000000000002</v>
      </c>
      <c r="J7" s="17">
        <v>105.2</v>
      </c>
      <c r="K7" s="17">
        <v>0.1</v>
      </c>
      <c r="L7" s="19">
        <f t="shared" ref="L7" si="2">J7-K7</f>
        <v>105.10000000000001</v>
      </c>
      <c r="M7" s="17">
        <v>1</v>
      </c>
      <c r="N7" s="19">
        <f t="shared" ref="N7" si="3">L7*M7</f>
        <v>105.10000000000001</v>
      </c>
      <c r="O7" s="17">
        <f>N7-I7</f>
        <v>-28.600000000000009</v>
      </c>
      <c r="P7" s="17">
        <v>2341.9</v>
      </c>
      <c r="Q7" s="17">
        <v>2149.1</v>
      </c>
      <c r="R7" s="19">
        <f t="shared" ref="R7" si="4">P7-Q7</f>
        <v>192.80000000000018</v>
      </c>
      <c r="S7" s="17">
        <v>1</v>
      </c>
      <c r="T7" s="19">
        <f t="shared" ref="T7" si="5">R7*S7</f>
        <v>192.80000000000018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156</v>
      </c>
      <c r="D8" s="19" t="s">
        <v>124</v>
      </c>
      <c r="E8" s="17">
        <v>296.5</v>
      </c>
      <c r="F8" s="17">
        <f t="shared" ref="F8:F13" si="6">E7</f>
        <v>133.80000000000001</v>
      </c>
      <c r="G8" s="19">
        <f t="shared" ref="G8" si="7">E8-F8</f>
        <v>162.69999999999999</v>
      </c>
      <c r="H8" s="17">
        <f t="shared" ref="H8:H16" si="8">H7</f>
        <v>1</v>
      </c>
      <c r="I8" s="19">
        <f t="shared" ref="I8" si="9">G8*H8</f>
        <v>162.69999999999999</v>
      </c>
      <c r="J8" s="17">
        <v>208.2</v>
      </c>
      <c r="K8" s="17">
        <f t="shared" ref="K8:K13" si="10">J7</f>
        <v>105.2</v>
      </c>
      <c r="L8" s="19">
        <f t="shared" ref="L8" si="11">J8-K8</f>
        <v>102.99999999999999</v>
      </c>
      <c r="M8" s="17">
        <f t="shared" ref="M8:M16" si="12">M7</f>
        <v>1</v>
      </c>
      <c r="N8" s="19">
        <f t="shared" ref="N8" si="13">L8*M8</f>
        <v>102.99999999999999</v>
      </c>
      <c r="O8" s="17">
        <f>N8-I8</f>
        <v>-59.7</v>
      </c>
      <c r="P8" s="17">
        <v>2549</v>
      </c>
      <c r="Q8" s="17">
        <f t="shared" ref="Q8:Q13" si="14">P7</f>
        <v>2341.9</v>
      </c>
      <c r="R8" s="19">
        <f t="shared" ref="R8" si="15">P8-Q8</f>
        <v>207.09999999999991</v>
      </c>
      <c r="S8" s="17">
        <f t="shared" ref="S8:S16" si="16">S7</f>
        <v>1</v>
      </c>
      <c r="T8" s="19">
        <f t="shared" ref="T8" si="17">R8*S8</f>
        <v>207.09999999999991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156</v>
      </c>
      <c r="D9" s="19" t="s">
        <v>124</v>
      </c>
      <c r="E9" s="17">
        <v>467</v>
      </c>
      <c r="F9" s="17">
        <f t="shared" si="6"/>
        <v>296.5</v>
      </c>
      <c r="G9" s="19">
        <f t="shared" ref="G9" si="18">E9-F9</f>
        <v>170.5</v>
      </c>
      <c r="H9" s="17">
        <f t="shared" si="8"/>
        <v>1</v>
      </c>
      <c r="I9" s="19">
        <f t="shared" ref="I9" si="19">G9*H9</f>
        <v>170.5</v>
      </c>
      <c r="J9" s="17">
        <v>292</v>
      </c>
      <c r="K9" s="17">
        <f t="shared" si="10"/>
        <v>208.2</v>
      </c>
      <c r="L9" s="19">
        <f t="shared" ref="L9" si="20">J9-K9</f>
        <v>83.800000000000011</v>
      </c>
      <c r="M9" s="17">
        <f t="shared" si="12"/>
        <v>1</v>
      </c>
      <c r="N9" s="19">
        <f t="shared" ref="N9" si="21">L9*M9</f>
        <v>83.800000000000011</v>
      </c>
      <c r="O9" s="12">
        <f t="shared" ref="O9:O16" si="22">SUM(O7)</f>
        <v>-28.600000000000009</v>
      </c>
      <c r="P9" s="17">
        <v>2731</v>
      </c>
      <c r="Q9" s="17">
        <f t="shared" si="14"/>
        <v>2549</v>
      </c>
      <c r="R9" s="19">
        <f t="shared" ref="R9" si="23">P9-Q9</f>
        <v>182</v>
      </c>
      <c r="S9" s="17">
        <f t="shared" si="16"/>
        <v>1</v>
      </c>
      <c r="T9" s="19">
        <f t="shared" ref="T9" si="24">R9*S9</f>
        <v>182</v>
      </c>
      <c r="U9" s="17">
        <v>1.87</v>
      </c>
      <c r="V9" s="17">
        <v>0.74</v>
      </c>
      <c r="W9" s="25"/>
    </row>
    <row r="10" spans="1:23" ht="15.75" x14ac:dyDescent="0.25">
      <c r="A10" s="12">
        <v>4</v>
      </c>
      <c r="B10" s="22" t="s">
        <v>244</v>
      </c>
      <c r="C10" s="19" t="s">
        <v>156</v>
      </c>
      <c r="D10" s="19" t="s">
        <v>124</v>
      </c>
      <c r="E10" s="17">
        <v>633.1</v>
      </c>
      <c r="F10" s="17">
        <f t="shared" si="6"/>
        <v>467</v>
      </c>
      <c r="G10" s="19">
        <f t="shared" ref="G10" si="25">E10-F10</f>
        <v>166.10000000000002</v>
      </c>
      <c r="H10" s="17">
        <f t="shared" si="8"/>
        <v>1</v>
      </c>
      <c r="I10" s="19">
        <f t="shared" ref="I10" si="26">G10*H10</f>
        <v>166.10000000000002</v>
      </c>
      <c r="J10" s="17">
        <v>403</v>
      </c>
      <c r="K10" s="17">
        <f t="shared" si="10"/>
        <v>292</v>
      </c>
      <c r="L10" s="19">
        <f t="shared" ref="L10" si="27">J10-K10</f>
        <v>111</v>
      </c>
      <c r="M10" s="17">
        <f t="shared" si="12"/>
        <v>1</v>
      </c>
      <c r="N10" s="19">
        <f t="shared" ref="N10" si="28">L10*M10</f>
        <v>111</v>
      </c>
      <c r="O10" s="12">
        <f t="shared" si="22"/>
        <v>-59.7</v>
      </c>
      <c r="P10" s="17">
        <v>2957.3</v>
      </c>
      <c r="Q10" s="17">
        <f t="shared" si="14"/>
        <v>2731</v>
      </c>
      <c r="R10" s="19">
        <f t="shared" ref="R10" si="29">P10-Q10</f>
        <v>226.30000000000018</v>
      </c>
      <c r="S10" s="17">
        <f t="shared" si="16"/>
        <v>1</v>
      </c>
      <c r="T10" s="19">
        <f t="shared" ref="T10" si="30">R10*S10</f>
        <v>226.30000000000018</v>
      </c>
      <c r="U10" s="17">
        <v>1.53</v>
      </c>
      <c r="V10" s="17">
        <v>0.98</v>
      </c>
      <c r="W10" s="25"/>
    </row>
    <row r="11" spans="1:23" ht="15.75" x14ac:dyDescent="0.25">
      <c r="A11" s="12">
        <v>5</v>
      </c>
      <c r="B11" s="22" t="s">
        <v>245</v>
      </c>
      <c r="C11" s="19" t="s">
        <v>156</v>
      </c>
      <c r="D11" s="19" t="s">
        <v>124</v>
      </c>
      <c r="E11" s="17">
        <v>804.4</v>
      </c>
      <c r="F11" s="17">
        <f t="shared" si="6"/>
        <v>633.1</v>
      </c>
      <c r="G11" s="19">
        <f t="shared" ref="G11" si="31">E11-F11</f>
        <v>171.29999999999995</v>
      </c>
      <c r="H11" s="17">
        <f t="shared" si="8"/>
        <v>1</v>
      </c>
      <c r="I11" s="19">
        <f t="shared" ref="I11" si="32">G11*H11</f>
        <v>171.29999999999995</v>
      </c>
      <c r="J11" s="17">
        <v>514.79999999999995</v>
      </c>
      <c r="K11" s="17">
        <f t="shared" si="10"/>
        <v>403</v>
      </c>
      <c r="L11" s="19">
        <f t="shared" ref="L11" si="33">J11-K11</f>
        <v>111.79999999999995</v>
      </c>
      <c r="M11" s="17">
        <f t="shared" si="12"/>
        <v>1</v>
      </c>
      <c r="N11" s="19">
        <f t="shared" ref="N11" si="34">L11*M11</f>
        <v>111.79999999999995</v>
      </c>
      <c r="O11" s="12">
        <f t="shared" si="22"/>
        <v>-28.600000000000009</v>
      </c>
      <c r="P11" s="17">
        <v>3146.9</v>
      </c>
      <c r="Q11" s="17">
        <f t="shared" si="14"/>
        <v>2957.3</v>
      </c>
      <c r="R11" s="19">
        <f t="shared" ref="R11" si="35">P11-Q11</f>
        <v>189.59999999999991</v>
      </c>
      <c r="S11" s="17">
        <f t="shared" si="16"/>
        <v>1</v>
      </c>
      <c r="T11" s="19">
        <f t="shared" ref="T11" si="36">R11*S11</f>
        <v>189.59999999999991</v>
      </c>
      <c r="U11" s="17">
        <v>1.46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156</v>
      </c>
      <c r="D12" s="19" t="s">
        <v>124</v>
      </c>
      <c r="E12" s="12">
        <v>974.5</v>
      </c>
      <c r="F12" s="17">
        <f t="shared" si="6"/>
        <v>804.4</v>
      </c>
      <c r="G12" s="19">
        <f t="shared" ref="G12" si="37">E12-F12</f>
        <v>170.10000000000002</v>
      </c>
      <c r="H12" s="17">
        <f t="shared" si="8"/>
        <v>1</v>
      </c>
      <c r="I12" s="19">
        <f t="shared" ref="I12" si="38">G12*H12</f>
        <v>170.10000000000002</v>
      </c>
      <c r="J12" s="12">
        <v>624.5</v>
      </c>
      <c r="K12" s="17">
        <f t="shared" si="10"/>
        <v>514.79999999999995</v>
      </c>
      <c r="L12" s="19">
        <f t="shared" ref="L12" si="39">J12-K12</f>
        <v>109.70000000000005</v>
      </c>
      <c r="M12" s="17">
        <f t="shared" si="12"/>
        <v>1</v>
      </c>
      <c r="N12" s="19">
        <f t="shared" ref="N12" si="40">L12*M12</f>
        <v>109.70000000000005</v>
      </c>
      <c r="O12" s="12">
        <f t="shared" si="22"/>
        <v>-59.7</v>
      </c>
      <c r="P12" s="17">
        <v>3364.9</v>
      </c>
      <c r="Q12" s="17">
        <f t="shared" si="14"/>
        <v>3146.9</v>
      </c>
      <c r="R12" s="19">
        <f t="shared" ref="R12" si="41">P12-Q12</f>
        <v>218</v>
      </c>
      <c r="S12" s="17">
        <f t="shared" si="16"/>
        <v>1</v>
      </c>
      <c r="T12" s="19">
        <f t="shared" ref="T12" si="42">R12*S12</f>
        <v>218</v>
      </c>
      <c r="U12" s="19">
        <v>1.44</v>
      </c>
      <c r="V12" s="19">
        <v>0.79</v>
      </c>
      <c r="W12" s="25"/>
    </row>
    <row r="13" spans="1:23" ht="15.75" x14ac:dyDescent="0.25">
      <c r="A13" s="12">
        <v>7</v>
      </c>
      <c r="B13" s="22" t="s">
        <v>252</v>
      </c>
      <c r="C13" s="19" t="s">
        <v>156</v>
      </c>
      <c r="D13" s="19" t="s">
        <v>124</v>
      </c>
      <c r="E13" s="12">
        <v>1138</v>
      </c>
      <c r="F13" s="17">
        <f t="shared" si="6"/>
        <v>974.5</v>
      </c>
      <c r="G13" s="19">
        <f t="shared" ref="G13" si="43">E13-F13</f>
        <v>163.5</v>
      </c>
      <c r="H13" s="17">
        <f t="shared" si="8"/>
        <v>1</v>
      </c>
      <c r="I13" s="19">
        <f t="shared" ref="I13" si="44">G13*H13</f>
        <v>163.5</v>
      </c>
      <c r="J13" s="12">
        <v>724</v>
      </c>
      <c r="K13" s="17">
        <f t="shared" si="10"/>
        <v>624.5</v>
      </c>
      <c r="L13" s="19">
        <f t="shared" ref="L13" si="45">J13-K13</f>
        <v>99.5</v>
      </c>
      <c r="M13" s="17">
        <f t="shared" si="12"/>
        <v>1</v>
      </c>
      <c r="N13" s="19">
        <f t="shared" ref="N13" si="46">L13*M13</f>
        <v>99.5</v>
      </c>
      <c r="O13" s="12">
        <f t="shared" si="22"/>
        <v>-28.600000000000009</v>
      </c>
      <c r="P13" s="12">
        <v>3544</v>
      </c>
      <c r="Q13" s="17">
        <f t="shared" si="14"/>
        <v>3364.9</v>
      </c>
      <c r="R13" s="19">
        <f t="shared" ref="R13" si="47">P13-Q13</f>
        <v>179.09999999999991</v>
      </c>
      <c r="S13" s="17">
        <f t="shared" si="16"/>
        <v>1</v>
      </c>
      <c r="T13" s="19">
        <f t="shared" ref="T13" si="48">R13*S13</f>
        <v>179.09999999999991</v>
      </c>
      <c r="U13" s="19">
        <v>1.38</v>
      </c>
      <c r="V13" s="19">
        <v>0.88</v>
      </c>
      <c r="W13" s="25"/>
    </row>
    <row r="14" spans="1:23" ht="15.75" x14ac:dyDescent="0.25">
      <c r="A14" s="12">
        <v>8</v>
      </c>
      <c r="B14" s="22" t="s">
        <v>253</v>
      </c>
      <c r="C14" s="19" t="s">
        <v>156</v>
      </c>
      <c r="D14" s="19" t="s">
        <v>124</v>
      </c>
      <c r="E14" s="12">
        <v>1308</v>
      </c>
      <c r="F14" s="17">
        <f t="shared" ref="F14" si="49">E13</f>
        <v>1138</v>
      </c>
      <c r="G14" s="19">
        <f t="shared" ref="G14" si="50">E14-F14</f>
        <v>170</v>
      </c>
      <c r="H14" s="17">
        <f t="shared" si="8"/>
        <v>1</v>
      </c>
      <c r="I14" s="19">
        <f t="shared" ref="I14" si="51">G14*H14</f>
        <v>170</v>
      </c>
      <c r="J14" s="12">
        <v>859</v>
      </c>
      <c r="K14" s="17">
        <f t="shared" ref="K14" si="52">J13</f>
        <v>724</v>
      </c>
      <c r="L14" s="19">
        <f t="shared" ref="L14" si="53">J14-K14</f>
        <v>135</v>
      </c>
      <c r="M14" s="17">
        <f t="shared" si="12"/>
        <v>1</v>
      </c>
      <c r="N14" s="19">
        <f t="shared" ref="N14" si="54">L14*M14</f>
        <v>135</v>
      </c>
      <c r="O14" s="12">
        <f t="shared" si="22"/>
        <v>-59.7</v>
      </c>
      <c r="P14" s="12">
        <v>3805</v>
      </c>
      <c r="Q14" s="17">
        <f t="shared" ref="Q14" si="55">P13</f>
        <v>3544</v>
      </c>
      <c r="R14" s="19">
        <f t="shared" ref="R14" si="56">P14-Q14</f>
        <v>261</v>
      </c>
      <c r="S14" s="17">
        <f t="shared" si="16"/>
        <v>1</v>
      </c>
      <c r="T14" s="19">
        <f t="shared" ref="T14" si="57">R14*S14</f>
        <v>261</v>
      </c>
      <c r="U14" s="19">
        <v>1.99</v>
      </c>
      <c r="V14" s="19">
        <v>0.97</v>
      </c>
      <c r="W14" s="25"/>
    </row>
    <row r="15" spans="1:23" ht="15.75" x14ac:dyDescent="0.25">
      <c r="A15" s="12">
        <v>9</v>
      </c>
      <c r="B15" s="22" t="s">
        <v>254</v>
      </c>
      <c r="C15" s="19" t="s">
        <v>156</v>
      </c>
      <c r="D15" s="19" t="s">
        <v>124</v>
      </c>
      <c r="E15" s="12">
        <v>1552</v>
      </c>
      <c r="F15" s="17">
        <f t="shared" ref="F15" si="58">E14</f>
        <v>1308</v>
      </c>
      <c r="G15" s="19">
        <f t="shared" ref="G15" si="59">E15-F15</f>
        <v>244</v>
      </c>
      <c r="H15" s="17">
        <f t="shared" si="8"/>
        <v>1</v>
      </c>
      <c r="I15" s="19">
        <f t="shared" ref="I15" si="60">G15*H15</f>
        <v>244</v>
      </c>
      <c r="J15" s="12">
        <v>925.8</v>
      </c>
      <c r="K15" s="17">
        <f t="shared" ref="K15" si="61">J14</f>
        <v>859</v>
      </c>
      <c r="L15" s="19">
        <f t="shared" ref="L15" si="62">J15-K15</f>
        <v>66.799999999999955</v>
      </c>
      <c r="M15" s="17">
        <f t="shared" si="12"/>
        <v>1</v>
      </c>
      <c r="N15" s="19">
        <f t="shared" ref="N15" si="63">L15*M15</f>
        <v>66.799999999999955</v>
      </c>
      <c r="O15" s="12">
        <f t="shared" si="22"/>
        <v>-28.600000000000009</v>
      </c>
      <c r="P15" s="12">
        <v>4066</v>
      </c>
      <c r="Q15" s="17">
        <f t="shared" ref="Q15" si="64">P14</f>
        <v>3805</v>
      </c>
      <c r="R15" s="19">
        <f t="shared" ref="R15" si="65">P15-Q15</f>
        <v>261</v>
      </c>
      <c r="S15" s="17">
        <f t="shared" si="16"/>
        <v>1</v>
      </c>
      <c r="T15" s="19">
        <f t="shared" ref="T15" si="66">R15*S15</f>
        <v>261</v>
      </c>
      <c r="U15" s="19">
        <v>2.4</v>
      </c>
      <c r="V15" s="19">
        <v>0.98</v>
      </c>
      <c r="W15" s="25"/>
    </row>
    <row r="16" spans="1:23" ht="15.75" x14ac:dyDescent="0.25">
      <c r="A16" s="12">
        <v>10</v>
      </c>
      <c r="B16" s="22" t="s">
        <v>258</v>
      </c>
      <c r="C16" s="19" t="s">
        <v>156</v>
      </c>
      <c r="D16" s="19" t="s">
        <v>124</v>
      </c>
      <c r="E16" s="12">
        <v>1694</v>
      </c>
      <c r="F16" s="17">
        <f t="shared" ref="F16" si="67">E15</f>
        <v>1552</v>
      </c>
      <c r="G16" s="19">
        <f t="shared" ref="G16" si="68">E16-F16</f>
        <v>142</v>
      </c>
      <c r="H16" s="17">
        <f t="shared" si="8"/>
        <v>1</v>
      </c>
      <c r="I16" s="19">
        <f t="shared" ref="I16" si="69">G16*H16</f>
        <v>142</v>
      </c>
      <c r="J16" s="12">
        <v>1106.8</v>
      </c>
      <c r="K16" s="17">
        <f t="shared" ref="K16" si="70">J15</f>
        <v>925.8</v>
      </c>
      <c r="L16" s="19">
        <f t="shared" ref="L16" si="71">J16-K16</f>
        <v>181</v>
      </c>
      <c r="M16" s="17">
        <f t="shared" si="12"/>
        <v>1</v>
      </c>
      <c r="N16" s="19">
        <f t="shared" ref="N16" si="72">L16*M16</f>
        <v>181</v>
      </c>
      <c r="O16" s="12">
        <f t="shared" si="22"/>
        <v>-59.7</v>
      </c>
      <c r="P16" s="12">
        <v>4389</v>
      </c>
      <c r="Q16" s="17">
        <f t="shared" ref="Q16" si="73">P15</f>
        <v>4066</v>
      </c>
      <c r="R16" s="19">
        <f t="shared" ref="R16" si="74">P16-Q16</f>
        <v>323</v>
      </c>
      <c r="S16" s="17">
        <f t="shared" si="16"/>
        <v>1</v>
      </c>
      <c r="T16" s="19">
        <f t="shared" ref="T16" si="75">R16*S16</f>
        <v>323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22" t="s">
        <v>121</v>
      </c>
      <c r="I17" s="12">
        <f>SUM(I7:I16)</f>
        <v>1693.9</v>
      </c>
      <c r="J17" s="12"/>
      <c r="K17" s="17"/>
      <c r="L17" s="12"/>
      <c r="M17" s="17"/>
      <c r="N17" s="12">
        <f t="shared" ref="N17:O17" si="76">SUM(N7:N16)</f>
        <v>1106.6999999999998</v>
      </c>
      <c r="O17" s="12">
        <f t="shared" si="76"/>
        <v>-441.50000000000006</v>
      </c>
      <c r="P17" s="12"/>
      <c r="Q17" s="17"/>
      <c r="R17" s="12"/>
      <c r="S17" s="17"/>
      <c r="T17" s="12">
        <f>SUM(T7:T16)</f>
        <v>2239.9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156</v>
      </c>
      <c r="D18" s="19" t="s">
        <v>124</v>
      </c>
      <c r="E18" s="12">
        <v>1814.7</v>
      </c>
      <c r="F18" s="17">
        <f>E16</f>
        <v>1694</v>
      </c>
      <c r="G18" s="19">
        <f t="shared" ref="G18" si="77">E18-F18</f>
        <v>120.70000000000005</v>
      </c>
      <c r="H18" s="91">
        <v>1</v>
      </c>
      <c r="I18" s="19">
        <f t="shared" ref="I18" si="78">G18*H18</f>
        <v>120.70000000000005</v>
      </c>
      <c r="J18" s="12">
        <v>1317.7</v>
      </c>
      <c r="K18" s="17">
        <f>J16</f>
        <v>1106.8</v>
      </c>
      <c r="L18" s="19">
        <f t="shared" ref="L18" si="79">J18-K18</f>
        <v>210.90000000000009</v>
      </c>
      <c r="M18" s="17">
        <f>M16</f>
        <v>1</v>
      </c>
      <c r="N18" s="19">
        <f t="shared" ref="N18" si="80">L18*M18</f>
        <v>210.90000000000009</v>
      </c>
      <c r="O18" s="17">
        <f t="shared" ref="O18" si="81">N18-I18</f>
        <v>90.200000000000045</v>
      </c>
      <c r="P18" s="12">
        <v>4718.8</v>
      </c>
      <c r="Q18" s="17">
        <f>P16</f>
        <v>4389</v>
      </c>
      <c r="R18" s="19">
        <f t="shared" ref="R18" si="82">P18-Q18</f>
        <v>329.80000000000018</v>
      </c>
      <c r="S18" s="17">
        <f>S16</f>
        <v>1</v>
      </c>
      <c r="T18" s="19">
        <f t="shared" ref="T18" si="83">R18*S18</f>
        <v>329.80000000000018</v>
      </c>
      <c r="U18" s="12">
        <v>0.82</v>
      </c>
      <c r="V18" s="12">
        <v>0.97</v>
      </c>
      <c r="W18" s="25"/>
    </row>
    <row r="19" spans="1:23" ht="15.75" x14ac:dyDescent="0.25">
      <c r="A19" s="12">
        <v>12</v>
      </c>
      <c r="B19" s="22" t="s">
        <v>263</v>
      </c>
      <c r="C19" s="19" t="s">
        <v>156</v>
      </c>
      <c r="D19" s="19" t="s">
        <v>124</v>
      </c>
      <c r="E19" s="12">
        <v>1942.4</v>
      </c>
      <c r="F19" s="17">
        <f t="shared" ref="F19:F24" si="84">E18</f>
        <v>1814.7</v>
      </c>
      <c r="G19" s="19">
        <f t="shared" ref="G19" si="85">E19-F19</f>
        <v>127.70000000000005</v>
      </c>
      <c r="H19" s="91">
        <f t="shared" ref="H19:H59" si="86">H18</f>
        <v>1</v>
      </c>
      <c r="I19" s="19">
        <f t="shared" ref="I19" si="87">G19*H19</f>
        <v>127.70000000000005</v>
      </c>
      <c r="J19" s="12">
        <v>1464.6</v>
      </c>
      <c r="K19" s="17">
        <f t="shared" ref="K19:K24" si="88">J18</f>
        <v>1317.7</v>
      </c>
      <c r="L19" s="19">
        <f t="shared" ref="L19" si="89">J19-K19</f>
        <v>146.89999999999986</v>
      </c>
      <c r="M19" s="17">
        <f t="shared" ref="M19:M59" si="90">M18</f>
        <v>1</v>
      </c>
      <c r="N19" s="19">
        <f t="shared" ref="N19" si="91">L19*M19</f>
        <v>146.89999999999986</v>
      </c>
      <c r="O19" s="17">
        <f t="shared" ref="O19" si="92">N19-I19</f>
        <v>19.199999999999818</v>
      </c>
      <c r="P19" s="12">
        <v>4995.6000000000004</v>
      </c>
      <c r="Q19" s="17">
        <f t="shared" ref="Q19:Q24" si="93">P18</f>
        <v>4718.8</v>
      </c>
      <c r="R19" s="19">
        <f t="shared" ref="R19" si="94">P19-Q19</f>
        <v>276.80000000000018</v>
      </c>
      <c r="S19" s="17">
        <f t="shared" ref="S19:S59" si="95">S18</f>
        <v>1</v>
      </c>
      <c r="T19" s="19">
        <f t="shared" ref="T19" si="96">R19*S19</f>
        <v>276.80000000000018</v>
      </c>
      <c r="U19" s="19">
        <v>1.06</v>
      </c>
      <c r="V19" s="19">
        <v>0.8</v>
      </c>
      <c r="W19" s="25"/>
    </row>
    <row r="20" spans="1:23" ht="15.75" x14ac:dyDescent="0.25">
      <c r="A20" s="12">
        <v>13</v>
      </c>
      <c r="B20" s="22" t="s">
        <v>265</v>
      </c>
      <c r="C20" s="19" t="s">
        <v>156</v>
      </c>
      <c r="D20" s="19" t="s">
        <v>124</v>
      </c>
      <c r="E20" s="12">
        <v>2086.8000000000002</v>
      </c>
      <c r="F20" s="17">
        <f t="shared" si="84"/>
        <v>1942.4</v>
      </c>
      <c r="G20" s="19">
        <f t="shared" ref="G20" si="97">E20-F20</f>
        <v>144.40000000000009</v>
      </c>
      <c r="H20" s="91">
        <f t="shared" si="86"/>
        <v>1</v>
      </c>
      <c r="I20" s="19">
        <f t="shared" ref="I20" si="98">G20*H20</f>
        <v>144.40000000000009</v>
      </c>
      <c r="J20" s="12">
        <v>1582</v>
      </c>
      <c r="K20" s="17">
        <f t="shared" si="88"/>
        <v>1464.6</v>
      </c>
      <c r="L20" s="19">
        <f t="shared" ref="L20" si="99">J20-K20</f>
        <v>117.40000000000009</v>
      </c>
      <c r="M20" s="17">
        <f t="shared" si="90"/>
        <v>1</v>
      </c>
      <c r="N20" s="19">
        <f t="shared" ref="N20" si="100">L20*M20</f>
        <v>117.40000000000009</v>
      </c>
      <c r="O20" s="17">
        <f t="shared" ref="O20" si="101">N20-I20</f>
        <v>-27</v>
      </c>
      <c r="P20" s="12">
        <v>5189.3</v>
      </c>
      <c r="Q20" s="17">
        <f t="shared" si="93"/>
        <v>4995.6000000000004</v>
      </c>
      <c r="R20" s="19">
        <f t="shared" ref="R20" si="102">P20-Q20</f>
        <v>193.69999999999982</v>
      </c>
      <c r="S20" s="17">
        <f t="shared" si="95"/>
        <v>1</v>
      </c>
      <c r="T20" s="19">
        <f t="shared" ref="T20" si="103">R20*S20</f>
        <v>193.69999999999982</v>
      </c>
      <c r="U20" s="19">
        <v>2.97</v>
      </c>
      <c r="V20" s="19">
        <v>0.97</v>
      </c>
      <c r="W20" s="25"/>
    </row>
    <row r="21" spans="1:23" ht="15.75" x14ac:dyDescent="0.25">
      <c r="A21" s="12">
        <v>14</v>
      </c>
      <c r="B21" s="22" t="s">
        <v>266</v>
      </c>
      <c r="C21" s="19" t="s">
        <v>156</v>
      </c>
      <c r="D21" s="19" t="s">
        <v>124</v>
      </c>
      <c r="E21" s="12">
        <v>2238.6999999999998</v>
      </c>
      <c r="F21" s="17">
        <f t="shared" si="84"/>
        <v>2086.8000000000002</v>
      </c>
      <c r="G21" s="19">
        <f t="shared" ref="G21" si="104">E21-F21</f>
        <v>151.89999999999964</v>
      </c>
      <c r="H21" s="91">
        <f t="shared" si="86"/>
        <v>1</v>
      </c>
      <c r="I21" s="19">
        <f t="shared" ref="I21" si="105">G21*H21</f>
        <v>151.89999999999964</v>
      </c>
      <c r="J21" s="12">
        <v>1658</v>
      </c>
      <c r="K21" s="17">
        <f t="shared" si="88"/>
        <v>1582</v>
      </c>
      <c r="L21" s="19">
        <f t="shared" ref="L21" si="106">J21-K21</f>
        <v>76</v>
      </c>
      <c r="M21" s="17">
        <f t="shared" si="90"/>
        <v>1</v>
      </c>
      <c r="N21" s="19">
        <f t="shared" ref="N21" si="107">L21*M21</f>
        <v>76</v>
      </c>
      <c r="O21" s="17">
        <f t="shared" ref="O21" si="108">N21-I21</f>
        <v>-75.899999999999636</v>
      </c>
      <c r="P21" s="12">
        <v>5402.3</v>
      </c>
      <c r="Q21" s="17">
        <f t="shared" si="93"/>
        <v>5189.3</v>
      </c>
      <c r="R21" s="19">
        <f t="shared" ref="R21" si="109">P21-Q21</f>
        <v>213</v>
      </c>
      <c r="S21" s="17">
        <f t="shared" si="95"/>
        <v>1</v>
      </c>
      <c r="T21" s="19">
        <f t="shared" ref="T21" si="110">R21*S21</f>
        <v>213</v>
      </c>
      <c r="U21" s="19">
        <v>1</v>
      </c>
      <c r="V21" s="19">
        <v>0.66</v>
      </c>
      <c r="W21" s="25"/>
    </row>
    <row r="22" spans="1:23" ht="15.75" x14ac:dyDescent="0.25">
      <c r="A22" s="12">
        <v>15</v>
      </c>
      <c r="B22" s="22" t="s">
        <v>267</v>
      </c>
      <c r="C22" s="19" t="s">
        <v>156</v>
      </c>
      <c r="D22" s="19" t="s">
        <v>124</v>
      </c>
      <c r="E22" s="12">
        <v>2456.6</v>
      </c>
      <c r="F22" s="17">
        <f t="shared" si="84"/>
        <v>2238.6999999999998</v>
      </c>
      <c r="G22" s="19">
        <f t="shared" ref="G22" si="111">E22-F22</f>
        <v>217.90000000000009</v>
      </c>
      <c r="H22" s="91">
        <f t="shared" si="86"/>
        <v>1</v>
      </c>
      <c r="I22" s="19">
        <f t="shared" ref="I22" si="112">G22*H22</f>
        <v>217.90000000000009</v>
      </c>
      <c r="J22" s="12">
        <v>1721.6</v>
      </c>
      <c r="K22" s="17">
        <f t="shared" si="88"/>
        <v>1658</v>
      </c>
      <c r="L22" s="19">
        <f t="shared" ref="L22" si="113">J22-K22</f>
        <v>63.599999999999909</v>
      </c>
      <c r="M22" s="17">
        <f t="shared" si="90"/>
        <v>1</v>
      </c>
      <c r="N22" s="19">
        <f t="shared" ref="N22" si="114">L22*M22</f>
        <v>63.599999999999909</v>
      </c>
      <c r="O22" s="17">
        <f t="shared" ref="O22" si="115">N22-I22</f>
        <v>-154.30000000000018</v>
      </c>
      <c r="P22" s="12">
        <v>5566.4</v>
      </c>
      <c r="Q22" s="17">
        <f t="shared" si="93"/>
        <v>5402.3</v>
      </c>
      <c r="R22" s="19">
        <f t="shared" ref="R22" si="116">P22-Q22</f>
        <v>164.09999999999945</v>
      </c>
      <c r="S22" s="17">
        <f t="shared" si="95"/>
        <v>1</v>
      </c>
      <c r="T22" s="19">
        <f t="shared" ref="T22" si="117">R22*S22</f>
        <v>164.09999999999945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156</v>
      </c>
      <c r="D23" s="19" t="s">
        <v>124</v>
      </c>
      <c r="E23" s="12">
        <v>2621.6</v>
      </c>
      <c r="F23" s="17">
        <f t="shared" si="84"/>
        <v>2456.6</v>
      </c>
      <c r="G23" s="19">
        <f t="shared" ref="G23" si="118">E23-F23</f>
        <v>165</v>
      </c>
      <c r="H23" s="91">
        <f t="shared" si="86"/>
        <v>1</v>
      </c>
      <c r="I23" s="19">
        <f t="shared" ref="I23" si="119">G23*H23</f>
        <v>165</v>
      </c>
      <c r="J23" s="12">
        <v>1769.9</v>
      </c>
      <c r="K23" s="17">
        <f t="shared" si="88"/>
        <v>1721.6</v>
      </c>
      <c r="L23" s="19">
        <f t="shared" ref="L23" si="120">J23-K23</f>
        <v>48.300000000000182</v>
      </c>
      <c r="M23" s="17">
        <f t="shared" si="90"/>
        <v>1</v>
      </c>
      <c r="N23" s="19">
        <f t="shared" ref="N23" si="121">L23*M23</f>
        <v>48.300000000000182</v>
      </c>
      <c r="O23" s="17">
        <f t="shared" ref="O23" si="122">N23-I23</f>
        <v>-116.69999999999982</v>
      </c>
      <c r="P23" s="12">
        <v>5706.1</v>
      </c>
      <c r="Q23" s="17">
        <f t="shared" si="93"/>
        <v>5566.4</v>
      </c>
      <c r="R23" s="19">
        <f t="shared" ref="R23" si="123">P23-Q23</f>
        <v>139.70000000000073</v>
      </c>
      <c r="S23" s="17">
        <f t="shared" si="95"/>
        <v>1</v>
      </c>
      <c r="T23" s="19">
        <f t="shared" ref="T23" si="124">R23*S23</f>
        <v>139.70000000000073</v>
      </c>
      <c r="U23" s="19">
        <v>2.4300000000000002</v>
      </c>
      <c r="V23" s="19">
        <v>0.31</v>
      </c>
      <c r="W23" s="25"/>
    </row>
    <row r="24" spans="1:23" ht="15.75" x14ac:dyDescent="0.25">
      <c r="A24" s="12">
        <v>17</v>
      </c>
      <c r="B24" s="22" t="s">
        <v>272</v>
      </c>
      <c r="C24" s="19" t="s">
        <v>156</v>
      </c>
      <c r="D24" s="19" t="s">
        <v>124</v>
      </c>
      <c r="E24" s="12">
        <v>2783.1</v>
      </c>
      <c r="F24" s="17">
        <f t="shared" si="84"/>
        <v>2621.6</v>
      </c>
      <c r="G24" s="19">
        <f t="shared" ref="G24" si="125">E24-F24</f>
        <v>161.5</v>
      </c>
      <c r="H24" s="91">
        <f t="shared" si="86"/>
        <v>1</v>
      </c>
      <c r="I24" s="19">
        <f t="shared" ref="I24" si="126">G24*H24</f>
        <v>161.5</v>
      </c>
      <c r="J24" s="12">
        <v>1817</v>
      </c>
      <c r="K24" s="17">
        <f t="shared" si="88"/>
        <v>1769.9</v>
      </c>
      <c r="L24" s="19">
        <f t="shared" ref="L24" si="127">J24-K24</f>
        <v>47.099999999999909</v>
      </c>
      <c r="M24" s="17">
        <f t="shared" si="90"/>
        <v>1</v>
      </c>
      <c r="N24" s="19">
        <f t="shared" ref="N24" si="128">L24*M24</f>
        <v>47.099999999999909</v>
      </c>
      <c r="O24" s="17">
        <f t="shared" ref="O24" si="129">N24-I24</f>
        <v>-114.40000000000009</v>
      </c>
      <c r="P24" s="12">
        <v>5846.7</v>
      </c>
      <c r="Q24" s="17">
        <f t="shared" si="93"/>
        <v>5706.1</v>
      </c>
      <c r="R24" s="19">
        <f t="shared" ref="R24" si="130">P24-Q24</f>
        <v>140.59999999999945</v>
      </c>
      <c r="S24" s="17">
        <f t="shared" si="95"/>
        <v>1</v>
      </c>
      <c r="T24" s="19">
        <f t="shared" ref="T24" si="131">R24*S24</f>
        <v>140.59999999999945</v>
      </c>
      <c r="U24" s="19">
        <v>1.29</v>
      </c>
      <c r="V24" s="19">
        <v>0.21</v>
      </c>
      <c r="W24" s="25"/>
    </row>
    <row r="25" spans="1:23" ht="15.75" x14ac:dyDescent="0.25">
      <c r="A25" s="12">
        <v>18</v>
      </c>
      <c r="B25" s="22" t="s">
        <v>274</v>
      </c>
      <c r="C25" s="19" t="s">
        <v>156</v>
      </c>
      <c r="D25" s="19" t="s">
        <v>124</v>
      </c>
      <c r="E25" s="12">
        <v>2969.2</v>
      </c>
      <c r="F25" s="17">
        <f t="shared" ref="F25" si="132">E24</f>
        <v>2783.1</v>
      </c>
      <c r="G25" s="19">
        <f t="shared" ref="G25" si="133">E25-F25</f>
        <v>186.09999999999991</v>
      </c>
      <c r="H25" s="91">
        <f t="shared" si="86"/>
        <v>1</v>
      </c>
      <c r="I25" s="19">
        <f t="shared" ref="I25" si="134">G25*H25</f>
        <v>186.09999999999991</v>
      </c>
      <c r="J25" s="12">
        <v>1850</v>
      </c>
      <c r="K25" s="17">
        <f t="shared" ref="K25" si="135">J24</f>
        <v>1817</v>
      </c>
      <c r="L25" s="19">
        <f t="shared" ref="L25" si="136">J25-K25</f>
        <v>33</v>
      </c>
      <c r="M25" s="17">
        <f t="shared" si="90"/>
        <v>1</v>
      </c>
      <c r="N25" s="19">
        <f t="shared" ref="N25" si="137">L25*M25</f>
        <v>33</v>
      </c>
      <c r="O25" s="17">
        <f t="shared" ref="O25" si="138">N25-I25</f>
        <v>-153.09999999999991</v>
      </c>
      <c r="P25" s="12">
        <v>5962.7</v>
      </c>
      <c r="Q25" s="17">
        <f t="shared" ref="Q25" si="139">P24</f>
        <v>5846.7</v>
      </c>
      <c r="R25" s="19">
        <f t="shared" ref="R25" si="140">P25-Q25</f>
        <v>116</v>
      </c>
      <c r="S25" s="17">
        <f t="shared" si="95"/>
        <v>1</v>
      </c>
      <c r="T25" s="19">
        <f t="shared" ref="T25" si="141">R25*S25</f>
        <v>116</v>
      </c>
      <c r="U25" s="19">
        <v>1.64</v>
      </c>
      <c r="V25" s="19">
        <v>0.84</v>
      </c>
      <c r="W25" s="25"/>
    </row>
    <row r="26" spans="1:23" ht="15.75" x14ac:dyDescent="0.25">
      <c r="A26" s="12">
        <v>19</v>
      </c>
      <c r="B26" s="22" t="s">
        <v>276</v>
      </c>
      <c r="C26" s="19" t="s">
        <v>156</v>
      </c>
      <c r="D26" s="19" t="s">
        <v>124</v>
      </c>
      <c r="E26" s="12">
        <v>3169</v>
      </c>
      <c r="F26" s="17">
        <f t="shared" ref="F26" si="142">E25</f>
        <v>2969.2</v>
      </c>
      <c r="G26" s="19">
        <f t="shared" ref="G26" si="143">E26-F26</f>
        <v>199.80000000000018</v>
      </c>
      <c r="H26" s="91">
        <f t="shared" si="86"/>
        <v>1</v>
      </c>
      <c r="I26" s="19">
        <f t="shared" ref="I26" si="144">G26*H26</f>
        <v>199.80000000000018</v>
      </c>
      <c r="J26" s="12">
        <v>1888.2</v>
      </c>
      <c r="K26" s="17">
        <f t="shared" ref="K26" si="145">J25</f>
        <v>1850</v>
      </c>
      <c r="L26" s="19">
        <f t="shared" ref="L26" si="146">J26-K26</f>
        <v>38.200000000000045</v>
      </c>
      <c r="M26" s="17">
        <f t="shared" si="90"/>
        <v>1</v>
      </c>
      <c r="N26" s="19">
        <f t="shared" ref="N26" si="147">L26*M26</f>
        <v>38.200000000000045</v>
      </c>
      <c r="O26" s="17">
        <f t="shared" ref="O26" si="148">N26-I26</f>
        <v>-161.60000000000014</v>
      </c>
      <c r="P26" s="12">
        <v>6087.3</v>
      </c>
      <c r="Q26" s="17">
        <f t="shared" ref="Q26" si="149">P25</f>
        <v>5962.7</v>
      </c>
      <c r="R26" s="19">
        <f t="shared" ref="R26" si="150">P26-Q26</f>
        <v>124.60000000000036</v>
      </c>
      <c r="S26" s="17">
        <f t="shared" si="95"/>
        <v>1</v>
      </c>
      <c r="T26" s="19">
        <f t="shared" ref="T26" si="151">R26*S26</f>
        <v>124.60000000000036</v>
      </c>
      <c r="U26" s="19">
        <v>1.86</v>
      </c>
      <c r="V26" s="19">
        <v>0.66</v>
      </c>
      <c r="W26" s="25"/>
    </row>
    <row r="27" spans="1:23" ht="15.75" x14ac:dyDescent="0.25">
      <c r="A27" s="12">
        <v>20</v>
      </c>
      <c r="B27" s="22" t="s">
        <v>262</v>
      </c>
      <c r="C27" s="19" t="s">
        <v>156</v>
      </c>
      <c r="D27" s="19" t="s">
        <v>124</v>
      </c>
      <c r="E27" s="12">
        <v>3398.5</v>
      </c>
      <c r="F27" s="17">
        <f t="shared" ref="F27" si="152">E26</f>
        <v>3169</v>
      </c>
      <c r="G27" s="19">
        <f t="shared" ref="G27" si="153">E27-F27</f>
        <v>229.5</v>
      </c>
      <c r="H27" s="91">
        <f t="shared" si="86"/>
        <v>1</v>
      </c>
      <c r="I27" s="19">
        <f t="shared" ref="I27" si="154">G27*H27</f>
        <v>229.5</v>
      </c>
      <c r="J27" s="12">
        <v>1931.9</v>
      </c>
      <c r="K27" s="17">
        <f t="shared" ref="K27" si="155">J26</f>
        <v>1888.2</v>
      </c>
      <c r="L27" s="19">
        <f t="shared" ref="L27" si="156">J27-K27</f>
        <v>43.700000000000045</v>
      </c>
      <c r="M27" s="17">
        <f t="shared" si="90"/>
        <v>1</v>
      </c>
      <c r="N27" s="19">
        <f t="shared" ref="N27" si="157">L27*M27</f>
        <v>43.700000000000045</v>
      </c>
      <c r="O27" s="17">
        <f t="shared" ref="O27" si="158">N27-I27</f>
        <v>-185.79999999999995</v>
      </c>
      <c r="P27" s="12">
        <v>6231.6</v>
      </c>
      <c r="Q27" s="17">
        <f t="shared" ref="Q27" si="159">P26</f>
        <v>6087.3</v>
      </c>
      <c r="R27" s="19">
        <f t="shared" ref="R27" si="160">P27-Q27</f>
        <v>144.30000000000018</v>
      </c>
      <c r="S27" s="17">
        <f t="shared" si="95"/>
        <v>1</v>
      </c>
      <c r="T27" s="19">
        <f t="shared" ref="T27" si="161">R27*S27</f>
        <v>144.30000000000018</v>
      </c>
      <c r="U27" s="19">
        <v>1.59</v>
      </c>
      <c r="V27" s="19"/>
      <c r="W27" s="25"/>
    </row>
    <row r="28" spans="1:23" ht="15.75" x14ac:dyDescent="0.25">
      <c r="A28" s="12">
        <v>21</v>
      </c>
      <c r="B28" s="22" t="s">
        <v>277</v>
      </c>
      <c r="C28" s="19" t="s">
        <v>156</v>
      </c>
      <c r="D28" s="19" t="s">
        <v>124</v>
      </c>
      <c r="E28" s="12">
        <v>3601.3</v>
      </c>
      <c r="F28" s="17">
        <f t="shared" ref="F28" si="162">E27</f>
        <v>3398.5</v>
      </c>
      <c r="G28" s="19">
        <f t="shared" ref="G28" si="163">E28-F28</f>
        <v>202.80000000000018</v>
      </c>
      <c r="H28" s="91">
        <f t="shared" si="86"/>
        <v>1</v>
      </c>
      <c r="I28" s="19">
        <f t="shared" ref="I28" si="164">G28*H28</f>
        <v>202.80000000000018</v>
      </c>
      <c r="J28" s="12">
        <v>2011.3</v>
      </c>
      <c r="K28" s="17">
        <f t="shared" ref="K28" si="165">J27</f>
        <v>1931.9</v>
      </c>
      <c r="L28" s="19">
        <f t="shared" ref="L28" si="166">J28-K28</f>
        <v>79.399999999999864</v>
      </c>
      <c r="M28" s="17">
        <f t="shared" si="90"/>
        <v>1</v>
      </c>
      <c r="N28" s="19">
        <f t="shared" ref="N28" si="167">L28*M28</f>
        <v>79.399999999999864</v>
      </c>
      <c r="O28" s="17">
        <f t="shared" ref="O28" si="168">N28-I28</f>
        <v>-123.40000000000032</v>
      </c>
      <c r="P28" s="12">
        <v>6432.5</v>
      </c>
      <c r="Q28" s="17">
        <f t="shared" ref="Q28" si="169">P27</f>
        <v>6231.6</v>
      </c>
      <c r="R28" s="19">
        <f t="shared" ref="R28" si="170">P28-Q28</f>
        <v>200.89999999999964</v>
      </c>
      <c r="S28" s="17">
        <f t="shared" si="95"/>
        <v>1</v>
      </c>
      <c r="T28" s="19">
        <f t="shared" ref="T28" si="171">R28*S28</f>
        <v>200.89999999999964</v>
      </c>
      <c r="U28" s="19">
        <v>1.78</v>
      </c>
      <c r="V28" s="19">
        <v>0.96</v>
      </c>
      <c r="W28" s="25"/>
    </row>
    <row r="29" spans="1:23" ht="15.75" x14ac:dyDescent="0.25">
      <c r="A29" s="12">
        <v>22</v>
      </c>
      <c r="B29" s="22" t="s">
        <v>278</v>
      </c>
      <c r="C29" s="19" t="s">
        <v>156</v>
      </c>
      <c r="D29" s="19" t="s">
        <v>124</v>
      </c>
      <c r="E29" s="12">
        <v>3815.8</v>
      </c>
      <c r="F29" s="17">
        <f t="shared" ref="F29" si="172">E28</f>
        <v>3601.3</v>
      </c>
      <c r="G29" s="19">
        <f t="shared" ref="G29" si="173">E29-F29</f>
        <v>214.5</v>
      </c>
      <c r="H29" s="91">
        <f t="shared" si="86"/>
        <v>1</v>
      </c>
      <c r="I29" s="19">
        <f t="shared" ref="I29" si="174">G29*H29</f>
        <v>214.5</v>
      </c>
      <c r="J29" s="12">
        <v>2083.8000000000002</v>
      </c>
      <c r="K29" s="17">
        <f t="shared" ref="K29" si="175">J28</f>
        <v>2011.3</v>
      </c>
      <c r="L29" s="19">
        <f t="shared" ref="L29" si="176">J29-K29</f>
        <v>72.500000000000227</v>
      </c>
      <c r="M29" s="17">
        <f t="shared" si="90"/>
        <v>1</v>
      </c>
      <c r="N29" s="19">
        <f t="shared" ref="N29" si="177">L29*M29</f>
        <v>72.500000000000227</v>
      </c>
      <c r="O29" s="17">
        <f t="shared" ref="O29" si="178">N29-I29</f>
        <v>-141.99999999999977</v>
      </c>
      <c r="P29" s="12">
        <v>6613.9</v>
      </c>
      <c r="Q29" s="17">
        <f t="shared" ref="Q29" si="179">P28</f>
        <v>6432.5</v>
      </c>
      <c r="R29" s="19">
        <f t="shared" ref="R29" si="180">P29-Q29</f>
        <v>181.39999999999964</v>
      </c>
      <c r="S29" s="17">
        <f t="shared" si="95"/>
        <v>1</v>
      </c>
      <c r="T29" s="19">
        <f t="shared" ref="T29" si="181">R29*S29</f>
        <v>181.39999999999964</v>
      </c>
      <c r="U29" s="19">
        <v>1.8</v>
      </c>
      <c r="V29" s="19">
        <v>0.88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156</v>
      </c>
      <c r="D31" s="19" t="s">
        <v>124</v>
      </c>
      <c r="E31" s="12">
        <v>4025.8</v>
      </c>
      <c r="F31" s="17">
        <f t="shared" ref="F31" si="182">E29</f>
        <v>3815.8</v>
      </c>
      <c r="G31" s="19">
        <f t="shared" ref="G31" si="183">E31-F31</f>
        <v>210</v>
      </c>
      <c r="H31" s="91">
        <f>H29</f>
        <v>1</v>
      </c>
      <c r="I31" s="19">
        <f t="shared" ref="I31" si="184">G31*H31</f>
        <v>210</v>
      </c>
      <c r="J31" s="12">
        <v>2110</v>
      </c>
      <c r="K31" s="17">
        <f t="shared" ref="K31" si="185">J29</f>
        <v>2083.8000000000002</v>
      </c>
      <c r="L31" s="19">
        <f t="shared" ref="L31" si="186">J31-K31</f>
        <v>26.199999999999818</v>
      </c>
      <c r="M31" s="17">
        <f>M29</f>
        <v>1</v>
      </c>
      <c r="N31" s="19">
        <f t="shared" ref="N31" si="187">L31*M31</f>
        <v>26.199999999999818</v>
      </c>
      <c r="O31" s="17">
        <f t="shared" ref="O31" si="188">N31-I31</f>
        <v>-183.80000000000018</v>
      </c>
      <c r="P31" s="12">
        <v>6675</v>
      </c>
      <c r="Q31" s="17">
        <f t="shared" ref="Q31" si="189">P29</f>
        <v>6613.9</v>
      </c>
      <c r="R31" s="19">
        <f t="shared" ref="R31" si="190">P31-Q31</f>
        <v>61.100000000000364</v>
      </c>
      <c r="S31" s="17">
        <f>S29</f>
        <v>1</v>
      </c>
      <c r="T31" s="19">
        <f t="shared" ref="T31" si="191">R31*S31</f>
        <v>61.100000000000364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156</v>
      </c>
      <c r="D32" s="19" t="s">
        <v>124</v>
      </c>
      <c r="E32" s="12">
        <v>4290.3</v>
      </c>
      <c r="F32" s="17">
        <f t="shared" ref="F32" si="192">E31</f>
        <v>4025.8</v>
      </c>
      <c r="G32" s="19">
        <f t="shared" ref="G32" si="193">E32-F32</f>
        <v>264.5</v>
      </c>
      <c r="H32" s="91">
        <f t="shared" si="86"/>
        <v>1</v>
      </c>
      <c r="I32" s="19">
        <f t="shared" ref="I32" si="194">G32*H32</f>
        <v>264.5</v>
      </c>
      <c r="J32" s="12">
        <v>2114.6</v>
      </c>
      <c r="K32" s="17">
        <f t="shared" ref="K32" si="195">J31</f>
        <v>2110</v>
      </c>
      <c r="L32" s="19">
        <f t="shared" ref="L32" si="196">J32-K32</f>
        <v>4.5999999999999091</v>
      </c>
      <c r="M32" s="17">
        <f t="shared" si="90"/>
        <v>1</v>
      </c>
      <c r="N32" s="19">
        <f t="shared" ref="N32" si="197">L32*M32</f>
        <v>4.5999999999999091</v>
      </c>
      <c r="O32" s="17">
        <f t="shared" ref="O32" si="198">N32-I32</f>
        <v>-259.90000000000009</v>
      </c>
      <c r="P32" s="12">
        <v>6703.3</v>
      </c>
      <c r="Q32" s="17">
        <f t="shared" ref="Q32" si="199">P31</f>
        <v>6675</v>
      </c>
      <c r="R32" s="19">
        <f t="shared" ref="R32" si="200">P32-Q32</f>
        <v>28.300000000000182</v>
      </c>
      <c r="S32" s="17">
        <f t="shared" si="95"/>
        <v>1</v>
      </c>
      <c r="T32" s="19">
        <f t="shared" ref="T32" si="201">R32*S32</f>
        <v>28.300000000000182</v>
      </c>
      <c r="U32" s="19">
        <v>1.88</v>
      </c>
      <c r="V32" s="19">
        <v>0.96</v>
      </c>
      <c r="W32" s="25"/>
    </row>
    <row r="33" spans="1:23" ht="15.75" x14ac:dyDescent="0.25">
      <c r="A33" s="12">
        <v>25</v>
      </c>
      <c r="B33" s="22" t="s">
        <v>281</v>
      </c>
      <c r="C33" s="19" t="s">
        <v>156</v>
      </c>
      <c r="D33" s="19" t="s">
        <v>124</v>
      </c>
      <c r="E33" s="12">
        <v>4503.3999999999996</v>
      </c>
      <c r="F33" s="17">
        <f t="shared" ref="F33" si="202">E32</f>
        <v>4290.3</v>
      </c>
      <c r="G33" s="19">
        <f t="shared" ref="G33" si="203">E33-F33</f>
        <v>213.09999999999945</v>
      </c>
      <c r="H33" s="91">
        <f t="shared" si="86"/>
        <v>1</v>
      </c>
      <c r="I33" s="19">
        <f t="shared" ref="I33" si="204">G33*H33</f>
        <v>213.09999999999945</v>
      </c>
      <c r="J33" s="12">
        <v>2114.6</v>
      </c>
      <c r="K33" s="17">
        <f t="shared" ref="K33" si="205">J32</f>
        <v>2114.6</v>
      </c>
      <c r="L33" s="19">
        <f t="shared" ref="L33" si="206">J33-K33</f>
        <v>0</v>
      </c>
      <c r="M33" s="17">
        <f t="shared" si="90"/>
        <v>1</v>
      </c>
      <c r="N33" s="19">
        <f t="shared" ref="N33" si="207">L33*M33</f>
        <v>0</v>
      </c>
      <c r="O33" s="17">
        <f t="shared" ref="O33" si="208">N33-I33</f>
        <v>-213.09999999999945</v>
      </c>
      <c r="P33" s="12">
        <v>6703.3</v>
      </c>
      <c r="Q33" s="17">
        <f t="shared" ref="Q33" si="209">P32</f>
        <v>6703.3</v>
      </c>
      <c r="R33" s="19">
        <f t="shared" ref="R33" si="210">P33-Q33</f>
        <v>0</v>
      </c>
      <c r="S33" s="17">
        <f t="shared" si="95"/>
        <v>1</v>
      </c>
      <c r="T33" s="19">
        <f t="shared" ref="T33" si="211">R33*S33</f>
        <v>0</v>
      </c>
      <c r="U33" s="19">
        <v>1.68</v>
      </c>
      <c r="V33" s="19">
        <v>0.88</v>
      </c>
      <c r="W33" s="25"/>
    </row>
    <row r="34" spans="1:23" ht="15.75" x14ac:dyDescent="0.25">
      <c r="A34" s="12">
        <v>26</v>
      </c>
      <c r="B34" s="22" t="s">
        <v>282</v>
      </c>
      <c r="C34" s="19" t="s">
        <v>156</v>
      </c>
      <c r="D34" s="19" t="s">
        <v>124</v>
      </c>
      <c r="E34" s="12">
        <v>4758.8999999999996</v>
      </c>
      <c r="F34" s="17">
        <f t="shared" ref="F34" si="212">E33</f>
        <v>4503.3999999999996</v>
      </c>
      <c r="G34" s="19">
        <f t="shared" ref="G34" si="213">E34-F34</f>
        <v>255.5</v>
      </c>
      <c r="H34" s="91">
        <f t="shared" si="86"/>
        <v>1</v>
      </c>
      <c r="I34" s="19">
        <f t="shared" ref="I34" si="214">G34*H34</f>
        <v>255.5</v>
      </c>
      <c r="J34" s="12">
        <v>2114.6</v>
      </c>
      <c r="K34" s="17">
        <f t="shared" ref="K34" si="215">J33</f>
        <v>2114.6</v>
      </c>
      <c r="L34" s="19">
        <f t="shared" ref="L34" si="216">J34-K34</f>
        <v>0</v>
      </c>
      <c r="M34" s="17">
        <f t="shared" si="90"/>
        <v>1</v>
      </c>
      <c r="N34" s="19">
        <f t="shared" ref="N34" si="217">L34*M34</f>
        <v>0</v>
      </c>
      <c r="O34" s="17">
        <f t="shared" ref="O34" si="218">N34-I34</f>
        <v>-255.5</v>
      </c>
      <c r="P34" s="12">
        <v>6703.3</v>
      </c>
      <c r="Q34" s="17">
        <f t="shared" ref="Q34" si="219">P33</f>
        <v>6703.3</v>
      </c>
      <c r="R34" s="19">
        <f t="shared" ref="R34" si="220">P34-Q34</f>
        <v>0</v>
      </c>
      <c r="S34" s="17">
        <f t="shared" si="95"/>
        <v>1</v>
      </c>
      <c r="T34" s="19">
        <f t="shared" ref="T34" si="221">R34*S34</f>
        <v>0</v>
      </c>
      <c r="U34" s="19"/>
      <c r="V34" s="19">
        <v>0.94</v>
      </c>
      <c r="W34" s="25"/>
    </row>
    <row r="35" spans="1:23" ht="15.75" x14ac:dyDescent="0.25">
      <c r="A35" s="12">
        <v>27</v>
      </c>
      <c r="B35" s="22" t="s">
        <v>283</v>
      </c>
      <c r="C35" s="19" t="s">
        <v>156</v>
      </c>
      <c r="D35" s="19" t="s">
        <v>124</v>
      </c>
      <c r="E35" s="12">
        <v>5077.5</v>
      </c>
      <c r="F35" s="17">
        <f t="shared" ref="F35" si="222">E34</f>
        <v>4758.8999999999996</v>
      </c>
      <c r="G35" s="19">
        <f t="shared" ref="G35" si="223">E35-F35</f>
        <v>318.60000000000036</v>
      </c>
      <c r="H35" s="91">
        <f t="shared" si="86"/>
        <v>1</v>
      </c>
      <c r="I35" s="19">
        <f t="shared" ref="I35" si="224">G35*H35</f>
        <v>318.60000000000036</v>
      </c>
      <c r="J35" s="12">
        <v>2114.6</v>
      </c>
      <c r="K35" s="17">
        <f t="shared" ref="K35" si="225">J34</f>
        <v>2114.6</v>
      </c>
      <c r="L35" s="19">
        <f t="shared" ref="L35" si="226">J35-K35</f>
        <v>0</v>
      </c>
      <c r="M35" s="17">
        <f t="shared" si="90"/>
        <v>1</v>
      </c>
      <c r="N35" s="19">
        <f t="shared" ref="N35" si="227">L35*M35</f>
        <v>0</v>
      </c>
      <c r="O35" s="17">
        <f t="shared" ref="O35" si="228">N35-I35</f>
        <v>-318.60000000000036</v>
      </c>
      <c r="P35" s="12">
        <v>6703.3</v>
      </c>
      <c r="Q35" s="17">
        <f t="shared" ref="Q35" si="229">P34</f>
        <v>6703.3</v>
      </c>
      <c r="R35" s="19">
        <f t="shared" ref="R35" si="230">P35-Q35</f>
        <v>0</v>
      </c>
      <c r="S35" s="17">
        <f t="shared" si="95"/>
        <v>1</v>
      </c>
      <c r="T35" s="19">
        <f t="shared" ref="T35" si="231">R35*S35</f>
        <v>0</v>
      </c>
      <c r="U35" s="19">
        <v>2.3199999999999998</v>
      </c>
      <c r="V35" s="19">
        <v>0.96</v>
      </c>
      <c r="W35" s="25"/>
    </row>
    <row r="36" spans="1:23" ht="15.75" x14ac:dyDescent="0.25">
      <c r="A36" s="12">
        <v>28</v>
      </c>
      <c r="B36" s="22" t="s">
        <v>284</v>
      </c>
      <c r="C36" s="19" t="s">
        <v>156</v>
      </c>
      <c r="D36" s="19" t="s">
        <v>124</v>
      </c>
      <c r="E36" s="12">
        <v>5311.4</v>
      </c>
      <c r="F36" s="17">
        <f t="shared" ref="F36" si="232">E35</f>
        <v>5077.5</v>
      </c>
      <c r="G36" s="19">
        <f t="shared" ref="G36" si="233">E36-F36</f>
        <v>233.89999999999964</v>
      </c>
      <c r="H36" s="91">
        <f t="shared" si="86"/>
        <v>1</v>
      </c>
      <c r="I36" s="19">
        <f t="shared" ref="I36" si="234">G36*H36</f>
        <v>233.89999999999964</v>
      </c>
      <c r="J36" s="12">
        <v>2122</v>
      </c>
      <c r="K36" s="17">
        <f t="shared" ref="K36" si="235">J35</f>
        <v>2114.6</v>
      </c>
      <c r="L36" s="19">
        <f t="shared" ref="L36" si="236">J36-K36</f>
        <v>7.4000000000000909</v>
      </c>
      <c r="M36" s="17">
        <f t="shared" si="90"/>
        <v>1</v>
      </c>
      <c r="N36" s="19">
        <f t="shared" ref="N36" si="237">L36*M36</f>
        <v>7.4000000000000909</v>
      </c>
      <c r="O36" s="17">
        <f t="shared" ref="O36" si="238">N36-I36</f>
        <v>-226.49999999999955</v>
      </c>
      <c r="P36" s="12">
        <v>6772.5</v>
      </c>
      <c r="Q36" s="17">
        <f t="shared" ref="Q36" si="239">P35</f>
        <v>6703.3</v>
      </c>
      <c r="R36" s="19">
        <f t="shared" ref="R36" si="240">P36-Q36</f>
        <v>69.199999999999818</v>
      </c>
      <c r="S36" s="17">
        <f t="shared" si="95"/>
        <v>1</v>
      </c>
      <c r="T36" s="19">
        <f t="shared" ref="T36" si="241">R36*S36</f>
        <v>69.199999999999818</v>
      </c>
      <c r="U36" s="19">
        <v>1.25</v>
      </c>
      <c r="V36" s="19">
        <v>0.87</v>
      </c>
      <c r="W36" s="25"/>
    </row>
    <row r="37" spans="1:23" ht="15.75" x14ac:dyDescent="0.25">
      <c r="A37" s="12">
        <v>29</v>
      </c>
      <c r="B37" s="22" t="s">
        <v>286</v>
      </c>
      <c r="C37" s="19" t="s">
        <v>156</v>
      </c>
      <c r="D37" s="19" t="s">
        <v>124</v>
      </c>
      <c r="E37" s="12">
        <v>5501.3</v>
      </c>
      <c r="F37" s="17">
        <f t="shared" ref="F37" si="242">E36</f>
        <v>5311.4</v>
      </c>
      <c r="G37" s="19">
        <f t="shared" ref="G37" si="243">E37-F37</f>
        <v>189.90000000000055</v>
      </c>
      <c r="H37" s="91">
        <f t="shared" si="86"/>
        <v>1</v>
      </c>
      <c r="I37" s="19">
        <f t="shared" ref="I37" si="244">G37*H37</f>
        <v>189.90000000000055</v>
      </c>
      <c r="J37" s="12">
        <v>2128.4</v>
      </c>
      <c r="K37" s="17">
        <f t="shared" ref="K37" si="245">J36</f>
        <v>2122</v>
      </c>
      <c r="L37" s="19">
        <f t="shared" ref="L37" si="246">J37-K37</f>
        <v>6.4000000000000909</v>
      </c>
      <c r="M37" s="17">
        <f t="shared" si="90"/>
        <v>1</v>
      </c>
      <c r="N37" s="19">
        <f t="shared" ref="N37" si="247">L37*M37</f>
        <v>6.4000000000000909</v>
      </c>
      <c r="O37" s="17">
        <f t="shared" ref="O37" si="248">N37-I37</f>
        <v>-183.50000000000045</v>
      </c>
      <c r="P37" s="12">
        <v>6856.7</v>
      </c>
      <c r="Q37" s="17">
        <f t="shared" ref="Q37" si="249">P36</f>
        <v>6772.5</v>
      </c>
      <c r="R37" s="19">
        <f t="shared" ref="R37" si="250">P37-Q37</f>
        <v>84.199999999999818</v>
      </c>
      <c r="S37" s="17">
        <f t="shared" si="95"/>
        <v>1</v>
      </c>
      <c r="T37" s="19">
        <f t="shared" ref="T37" si="251">R37*S37</f>
        <v>84.199999999999818</v>
      </c>
      <c r="U37" s="19">
        <v>1.38</v>
      </c>
      <c r="V37" s="19">
        <v>0.84</v>
      </c>
      <c r="W37" s="25"/>
    </row>
    <row r="38" spans="1:23" ht="15.75" x14ac:dyDescent="0.25">
      <c r="A38" s="12">
        <v>30</v>
      </c>
      <c r="B38" s="22" t="s">
        <v>288</v>
      </c>
      <c r="C38" s="19" t="s">
        <v>156</v>
      </c>
      <c r="D38" s="19" t="s">
        <v>124</v>
      </c>
      <c r="E38" s="12">
        <v>5700.4</v>
      </c>
      <c r="F38" s="17">
        <f t="shared" ref="F38" si="252">E37</f>
        <v>5501.3</v>
      </c>
      <c r="G38" s="19">
        <f t="shared" ref="G38" si="253">E38-F38</f>
        <v>199.09999999999945</v>
      </c>
      <c r="H38" s="91">
        <f t="shared" si="86"/>
        <v>1</v>
      </c>
      <c r="I38" s="19">
        <f t="shared" ref="I38" si="254">G38*H38</f>
        <v>199.09999999999945</v>
      </c>
      <c r="J38" s="12">
        <v>2132.9</v>
      </c>
      <c r="K38" s="17">
        <f t="shared" ref="K38" si="255">J37</f>
        <v>2128.4</v>
      </c>
      <c r="L38" s="19">
        <f t="shared" ref="L38" si="256">J38-K38</f>
        <v>4.5</v>
      </c>
      <c r="M38" s="17">
        <f t="shared" si="90"/>
        <v>1</v>
      </c>
      <c r="N38" s="19">
        <f t="shared" ref="N38" si="257">L38*M38</f>
        <v>4.5</v>
      </c>
      <c r="O38" s="17">
        <f t="shared" ref="O38" si="258">N38-I38</f>
        <v>-194.59999999999945</v>
      </c>
      <c r="P38" s="12">
        <v>6909</v>
      </c>
      <c r="Q38" s="17">
        <f t="shared" ref="Q38" si="259">P37</f>
        <v>6856.7</v>
      </c>
      <c r="R38" s="19">
        <f t="shared" ref="R38" si="260">P38-Q38</f>
        <v>52.300000000000182</v>
      </c>
      <c r="S38" s="17">
        <f t="shared" si="95"/>
        <v>1</v>
      </c>
      <c r="T38" s="19">
        <f t="shared" ref="T38" si="261">R38*S38</f>
        <v>52.300000000000182</v>
      </c>
      <c r="U38" s="19">
        <v>1.92</v>
      </c>
      <c r="V38" s="19">
        <v>0.82</v>
      </c>
      <c r="W38" s="25"/>
    </row>
    <row r="39" spans="1:23" ht="15.75" x14ac:dyDescent="0.25">
      <c r="A39" s="12">
        <v>31</v>
      </c>
      <c r="B39" s="22" t="s">
        <v>289</v>
      </c>
      <c r="C39" s="19" t="s">
        <v>156</v>
      </c>
      <c r="D39" s="19" t="s">
        <v>124</v>
      </c>
      <c r="E39" s="12">
        <v>5909</v>
      </c>
      <c r="F39" s="17">
        <f t="shared" ref="F39" si="262">E38</f>
        <v>5700.4</v>
      </c>
      <c r="G39" s="19">
        <f t="shared" ref="G39" si="263">E39-F39</f>
        <v>208.60000000000036</v>
      </c>
      <c r="H39" s="91">
        <f t="shared" si="86"/>
        <v>1</v>
      </c>
      <c r="I39" s="19">
        <f t="shared" ref="I39" si="264">G39*H39</f>
        <v>208.60000000000036</v>
      </c>
      <c r="J39" s="12">
        <v>2146.8000000000002</v>
      </c>
      <c r="K39" s="17">
        <f t="shared" ref="K39" si="265">J38</f>
        <v>2132.9</v>
      </c>
      <c r="L39" s="19">
        <f t="shared" ref="L39" si="266">J39-K39</f>
        <v>13.900000000000091</v>
      </c>
      <c r="M39" s="17">
        <f t="shared" si="90"/>
        <v>1</v>
      </c>
      <c r="N39" s="19">
        <f t="shared" ref="N39" si="267">L39*M39</f>
        <v>13.900000000000091</v>
      </c>
      <c r="O39" s="17">
        <f t="shared" ref="O39" si="268">N39-I39</f>
        <v>-194.70000000000027</v>
      </c>
      <c r="P39" s="12">
        <v>6985.6</v>
      </c>
      <c r="Q39" s="17">
        <f t="shared" ref="Q39" si="269">P38</f>
        <v>6909</v>
      </c>
      <c r="R39" s="19">
        <f t="shared" ref="R39" si="270">P39-Q39</f>
        <v>76.600000000000364</v>
      </c>
      <c r="S39" s="17">
        <f t="shared" si="95"/>
        <v>1</v>
      </c>
      <c r="T39" s="19">
        <f t="shared" ref="T39" si="271">R39*S39</f>
        <v>76.600000000000364</v>
      </c>
      <c r="U39" s="19">
        <v>2.08</v>
      </c>
      <c r="V39" s="19">
        <v>0.99</v>
      </c>
      <c r="W39" s="25"/>
    </row>
    <row r="40" spans="1:23" ht="15.75" x14ac:dyDescent="0.25">
      <c r="A40" s="12">
        <v>32</v>
      </c>
      <c r="B40" s="22" t="s">
        <v>290</v>
      </c>
      <c r="C40" s="19" t="s">
        <v>156</v>
      </c>
      <c r="D40" s="19" t="s">
        <v>124</v>
      </c>
      <c r="E40" s="12">
        <v>6148</v>
      </c>
      <c r="F40" s="17">
        <f t="shared" ref="F40" si="272">E39</f>
        <v>5909</v>
      </c>
      <c r="G40" s="19">
        <f t="shared" ref="G40" si="273">E40-F40</f>
        <v>239</v>
      </c>
      <c r="H40" s="91">
        <f t="shared" si="86"/>
        <v>1</v>
      </c>
      <c r="I40" s="19">
        <f t="shared" ref="I40" si="274">G40*H40</f>
        <v>239</v>
      </c>
      <c r="J40" s="12">
        <v>2162</v>
      </c>
      <c r="K40" s="17">
        <f t="shared" ref="K40" si="275">J39</f>
        <v>2146.8000000000002</v>
      </c>
      <c r="L40" s="19">
        <f t="shared" ref="L40" si="276">J40-K40</f>
        <v>15.199999999999818</v>
      </c>
      <c r="M40" s="17">
        <f t="shared" si="90"/>
        <v>1</v>
      </c>
      <c r="N40" s="19">
        <f t="shared" ref="N40" si="277">L40*M40</f>
        <v>15.199999999999818</v>
      </c>
      <c r="O40" s="17">
        <f t="shared" ref="O40" si="278">N40-I40</f>
        <v>-223.80000000000018</v>
      </c>
      <c r="P40" s="12">
        <v>7076.4</v>
      </c>
      <c r="Q40" s="17">
        <f t="shared" ref="Q40" si="279">P39</f>
        <v>6985.6</v>
      </c>
      <c r="R40" s="19">
        <f t="shared" ref="R40" si="280">P40-Q40</f>
        <v>90.799999999999272</v>
      </c>
      <c r="S40" s="17">
        <f t="shared" si="95"/>
        <v>1</v>
      </c>
      <c r="T40" s="19">
        <f t="shared" ref="T40" si="281">R40*S40</f>
        <v>90.799999999999272</v>
      </c>
      <c r="U40" s="19">
        <v>2.17</v>
      </c>
      <c r="V40" s="19">
        <v>0.99</v>
      </c>
      <c r="W40" s="25"/>
    </row>
    <row r="41" spans="1:23" ht="15.75" x14ac:dyDescent="0.25">
      <c r="A41" s="12">
        <v>33</v>
      </c>
      <c r="B41" s="22" t="s">
        <v>291</v>
      </c>
      <c r="C41" s="19" t="s">
        <v>156</v>
      </c>
      <c r="D41" s="19" t="s">
        <v>124</v>
      </c>
      <c r="E41" s="12">
        <v>6315.5</v>
      </c>
      <c r="F41" s="17">
        <f t="shared" ref="F41:F48" si="282">E40</f>
        <v>6148</v>
      </c>
      <c r="G41" s="19">
        <f t="shared" ref="G41:G48" si="283">E41-F41</f>
        <v>167.5</v>
      </c>
      <c r="H41" s="91">
        <f t="shared" si="86"/>
        <v>1</v>
      </c>
      <c r="I41" s="19">
        <f t="shared" ref="I41:I48" si="284">G41*H41</f>
        <v>167.5</v>
      </c>
      <c r="J41" s="12">
        <v>2186</v>
      </c>
      <c r="K41" s="17">
        <f t="shared" ref="K41:K48" si="285">J40</f>
        <v>2162</v>
      </c>
      <c r="L41" s="19">
        <f t="shared" ref="L41:L48" si="286">J41-K41</f>
        <v>24</v>
      </c>
      <c r="M41" s="17">
        <f t="shared" si="90"/>
        <v>1</v>
      </c>
      <c r="N41" s="19">
        <f t="shared" ref="N41:N48" si="287">L41*M41</f>
        <v>24</v>
      </c>
      <c r="O41" s="17">
        <f t="shared" ref="O41:O48" si="288">N41-I41</f>
        <v>-143.5</v>
      </c>
      <c r="P41" s="12">
        <v>7197.5</v>
      </c>
      <c r="Q41" s="17">
        <f t="shared" ref="Q41:Q48" si="289">P40</f>
        <v>7076.4</v>
      </c>
      <c r="R41" s="19">
        <f t="shared" ref="R41:R48" si="290">P41-Q41</f>
        <v>121.10000000000036</v>
      </c>
      <c r="S41" s="17">
        <f t="shared" si="95"/>
        <v>1</v>
      </c>
      <c r="T41" s="19">
        <f t="shared" ref="T41:T48" si="291">R41*S41</f>
        <v>121.10000000000036</v>
      </c>
      <c r="U41" s="19">
        <v>1.96</v>
      </c>
      <c r="V41" s="19">
        <v>0.93</v>
      </c>
      <c r="W41" s="25"/>
    </row>
    <row r="42" spans="1:23" ht="15.75" x14ac:dyDescent="0.25">
      <c r="A42" s="12">
        <v>34</v>
      </c>
      <c r="B42" s="22" t="s">
        <v>292</v>
      </c>
      <c r="C42" s="19" t="s">
        <v>156</v>
      </c>
      <c r="D42" s="19" t="s">
        <v>124</v>
      </c>
      <c r="E42" s="12">
        <v>6527.4</v>
      </c>
      <c r="F42" s="17">
        <f t="shared" si="282"/>
        <v>6315.5</v>
      </c>
      <c r="G42" s="19">
        <f t="shared" si="283"/>
        <v>211.89999999999964</v>
      </c>
      <c r="H42" s="91">
        <f t="shared" si="86"/>
        <v>1</v>
      </c>
      <c r="I42" s="19">
        <f t="shared" si="284"/>
        <v>211.89999999999964</v>
      </c>
      <c r="J42" s="12">
        <v>2199.1</v>
      </c>
      <c r="K42" s="17">
        <f t="shared" si="285"/>
        <v>2186</v>
      </c>
      <c r="L42" s="19">
        <f t="shared" si="286"/>
        <v>13.099999999999909</v>
      </c>
      <c r="M42" s="17">
        <f t="shared" si="90"/>
        <v>1</v>
      </c>
      <c r="N42" s="19">
        <f t="shared" si="287"/>
        <v>13.099999999999909</v>
      </c>
      <c r="O42" s="17">
        <f t="shared" si="288"/>
        <v>-198.79999999999973</v>
      </c>
      <c r="P42" s="12">
        <v>7301.1</v>
      </c>
      <c r="Q42" s="17">
        <f t="shared" si="289"/>
        <v>7197.5</v>
      </c>
      <c r="R42" s="19">
        <f t="shared" si="290"/>
        <v>103.60000000000036</v>
      </c>
      <c r="S42" s="17">
        <f t="shared" si="95"/>
        <v>1</v>
      </c>
      <c r="T42" s="19">
        <f t="shared" si="291"/>
        <v>103.60000000000036</v>
      </c>
      <c r="U42" s="19">
        <v>1.94</v>
      </c>
      <c r="V42" s="19">
        <v>0.9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156</v>
      </c>
      <c r="D44" s="19" t="s">
        <v>124</v>
      </c>
      <c r="E44" s="12">
        <v>6724.1</v>
      </c>
      <c r="F44" s="17">
        <f>E42</f>
        <v>6527.4</v>
      </c>
      <c r="G44" s="19">
        <f t="shared" si="283"/>
        <v>196.70000000000073</v>
      </c>
      <c r="H44" s="91">
        <f>H42</f>
        <v>1</v>
      </c>
      <c r="I44" s="19">
        <f t="shared" si="284"/>
        <v>196.70000000000073</v>
      </c>
      <c r="J44" s="12">
        <v>2210.3000000000002</v>
      </c>
      <c r="K44" s="17">
        <f>J42</f>
        <v>2199.1</v>
      </c>
      <c r="L44" s="19">
        <f t="shared" si="286"/>
        <v>11.200000000000273</v>
      </c>
      <c r="M44" s="17">
        <f>M42</f>
        <v>1</v>
      </c>
      <c r="N44" s="19">
        <f t="shared" si="287"/>
        <v>11.200000000000273</v>
      </c>
      <c r="O44" s="17">
        <f t="shared" si="288"/>
        <v>-185.50000000000045</v>
      </c>
      <c r="P44" s="12">
        <v>7400.9</v>
      </c>
      <c r="Q44" s="17">
        <f>P42</f>
        <v>7301.1</v>
      </c>
      <c r="R44" s="19">
        <f t="shared" si="290"/>
        <v>99.799999999999272</v>
      </c>
      <c r="S44" s="17">
        <f>S42</f>
        <v>1</v>
      </c>
      <c r="T44" s="19">
        <f t="shared" si="291"/>
        <v>99.799999999999272</v>
      </c>
      <c r="U44" s="19">
        <v>1.78</v>
      </c>
      <c r="V44" s="19">
        <v>0.89</v>
      </c>
      <c r="W44" s="25"/>
    </row>
    <row r="45" spans="1:23" ht="15.75" x14ac:dyDescent="0.25">
      <c r="A45" s="12">
        <v>36</v>
      </c>
      <c r="B45" s="22" t="s">
        <v>294</v>
      </c>
      <c r="C45" s="19" t="s">
        <v>156</v>
      </c>
      <c r="D45" s="19" t="s">
        <v>124</v>
      </c>
      <c r="E45" s="12">
        <v>6924.2</v>
      </c>
      <c r="F45" s="17">
        <f t="shared" si="282"/>
        <v>6724.1</v>
      </c>
      <c r="G45" s="19">
        <f t="shared" si="283"/>
        <v>200.09999999999945</v>
      </c>
      <c r="H45" s="91">
        <f t="shared" si="86"/>
        <v>1</v>
      </c>
      <c r="I45" s="19">
        <f t="shared" si="284"/>
        <v>200.09999999999945</v>
      </c>
      <c r="J45" s="12">
        <v>2217</v>
      </c>
      <c r="K45" s="17">
        <f t="shared" si="285"/>
        <v>2210.3000000000002</v>
      </c>
      <c r="L45" s="19">
        <f t="shared" si="286"/>
        <v>6.6999999999998181</v>
      </c>
      <c r="M45" s="17">
        <f t="shared" si="90"/>
        <v>1</v>
      </c>
      <c r="N45" s="19">
        <f t="shared" si="287"/>
        <v>6.6999999999998181</v>
      </c>
      <c r="O45" s="17">
        <f t="shared" si="288"/>
        <v>-193.39999999999964</v>
      </c>
      <c r="P45" s="12">
        <v>7460.5</v>
      </c>
      <c r="Q45" s="17">
        <f t="shared" si="289"/>
        <v>7400.9</v>
      </c>
      <c r="R45" s="19">
        <f t="shared" si="290"/>
        <v>59.600000000000364</v>
      </c>
      <c r="S45" s="17">
        <f t="shared" si="95"/>
        <v>1</v>
      </c>
      <c r="T45" s="19">
        <f t="shared" si="291"/>
        <v>59.600000000000364</v>
      </c>
      <c r="U45" s="19">
        <v>1.86</v>
      </c>
      <c r="V45" s="19">
        <v>0.95</v>
      </c>
      <c r="W45" s="25"/>
    </row>
    <row r="46" spans="1:23" ht="15.75" x14ac:dyDescent="0.25">
      <c r="A46" s="12">
        <v>37</v>
      </c>
      <c r="B46" s="22" t="s">
        <v>295</v>
      </c>
      <c r="C46" s="19" t="s">
        <v>156</v>
      </c>
      <c r="D46" s="19" t="s">
        <v>124</v>
      </c>
      <c r="E46" s="12">
        <v>7114.9</v>
      </c>
      <c r="F46" s="17">
        <f t="shared" si="282"/>
        <v>6924.2</v>
      </c>
      <c r="G46" s="19">
        <f t="shared" si="283"/>
        <v>190.69999999999982</v>
      </c>
      <c r="H46" s="91">
        <f t="shared" si="86"/>
        <v>1</v>
      </c>
      <c r="I46" s="19">
        <f t="shared" si="284"/>
        <v>190.69999999999982</v>
      </c>
      <c r="J46" s="12">
        <v>2221.1</v>
      </c>
      <c r="K46" s="17">
        <f t="shared" si="285"/>
        <v>2217</v>
      </c>
      <c r="L46" s="19">
        <f t="shared" si="286"/>
        <v>4.0999999999999091</v>
      </c>
      <c r="M46" s="17">
        <f t="shared" si="90"/>
        <v>1</v>
      </c>
      <c r="N46" s="19">
        <f t="shared" si="287"/>
        <v>4.0999999999999091</v>
      </c>
      <c r="O46" s="17">
        <f t="shared" si="288"/>
        <v>-186.59999999999991</v>
      </c>
      <c r="P46" s="12">
        <v>7531.8</v>
      </c>
      <c r="Q46" s="17">
        <f t="shared" si="289"/>
        <v>7460.5</v>
      </c>
      <c r="R46" s="19">
        <f t="shared" si="290"/>
        <v>71.300000000000182</v>
      </c>
      <c r="S46" s="17">
        <f t="shared" si="95"/>
        <v>1</v>
      </c>
      <c r="T46" s="19">
        <f t="shared" si="291"/>
        <v>71.300000000000182</v>
      </c>
      <c r="U46" s="19">
        <v>1.67</v>
      </c>
      <c r="V46" s="19">
        <v>0.95</v>
      </c>
      <c r="W46" s="25"/>
    </row>
    <row r="47" spans="1:23" ht="15.75" x14ac:dyDescent="0.25">
      <c r="A47" s="12">
        <v>38</v>
      </c>
      <c r="B47" s="22" t="s">
        <v>296</v>
      </c>
      <c r="C47" s="19" t="s">
        <v>156</v>
      </c>
      <c r="D47" s="19" t="s">
        <v>124</v>
      </c>
      <c r="E47" s="12">
        <v>7304.7</v>
      </c>
      <c r="F47" s="17">
        <f t="shared" si="282"/>
        <v>7114.9</v>
      </c>
      <c r="G47" s="19">
        <f t="shared" si="283"/>
        <v>189.80000000000018</v>
      </c>
      <c r="H47" s="91">
        <f t="shared" si="86"/>
        <v>1</v>
      </c>
      <c r="I47" s="19">
        <f t="shared" si="284"/>
        <v>189.80000000000018</v>
      </c>
      <c r="J47" s="12">
        <v>2222.6</v>
      </c>
      <c r="K47" s="17">
        <f t="shared" si="285"/>
        <v>2221.1</v>
      </c>
      <c r="L47" s="19">
        <f t="shared" si="286"/>
        <v>1.5</v>
      </c>
      <c r="M47" s="17">
        <f t="shared" si="90"/>
        <v>1</v>
      </c>
      <c r="N47" s="19">
        <f t="shared" si="287"/>
        <v>1.5</v>
      </c>
      <c r="O47" s="17">
        <f t="shared" si="288"/>
        <v>-188.30000000000018</v>
      </c>
      <c r="P47" s="12">
        <v>7534</v>
      </c>
      <c r="Q47" s="17">
        <f t="shared" si="289"/>
        <v>7531.8</v>
      </c>
      <c r="R47" s="19">
        <f t="shared" si="290"/>
        <v>2.1999999999998181</v>
      </c>
      <c r="S47" s="17">
        <f t="shared" si="95"/>
        <v>1</v>
      </c>
      <c r="T47" s="19">
        <f t="shared" si="291"/>
        <v>2.1999999999998181</v>
      </c>
      <c r="U47" s="19">
        <v>1.32</v>
      </c>
      <c r="V47" s="19">
        <v>0.86</v>
      </c>
      <c r="W47" s="25"/>
    </row>
    <row r="48" spans="1:23" ht="15.75" x14ac:dyDescent="0.25">
      <c r="A48" s="12">
        <v>39</v>
      </c>
      <c r="B48" s="22" t="s">
        <v>297</v>
      </c>
      <c r="C48" s="19" t="s">
        <v>156</v>
      </c>
      <c r="D48" s="19" t="s">
        <v>124</v>
      </c>
      <c r="E48" s="12">
        <v>7514.9</v>
      </c>
      <c r="F48" s="17">
        <f t="shared" si="282"/>
        <v>7304.7</v>
      </c>
      <c r="G48" s="19">
        <f t="shared" si="283"/>
        <v>210.19999999999982</v>
      </c>
      <c r="H48" s="91">
        <f t="shared" si="86"/>
        <v>1</v>
      </c>
      <c r="I48" s="19">
        <f t="shared" si="284"/>
        <v>210.19999999999982</v>
      </c>
      <c r="J48" s="12">
        <v>2224.1</v>
      </c>
      <c r="K48" s="17">
        <f t="shared" si="285"/>
        <v>2222.6</v>
      </c>
      <c r="L48" s="19">
        <f t="shared" si="286"/>
        <v>1.5</v>
      </c>
      <c r="M48" s="17">
        <f t="shared" si="90"/>
        <v>1</v>
      </c>
      <c r="N48" s="19">
        <f t="shared" si="287"/>
        <v>1.5</v>
      </c>
      <c r="O48" s="17">
        <f t="shared" si="288"/>
        <v>-208.69999999999982</v>
      </c>
      <c r="P48" s="12">
        <v>7536</v>
      </c>
      <c r="Q48" s="17">
        <f t="shared" si="289"/>
        <v>7534</v>
      </c>
      <c r="R48" s="19">
        <f t="shared" si="290"/>
        <v>2</v>
      </c>
      <c r="S48" s="17">
        <f t="shared" si="95"/>
        <v>1</v>
      </c>
      <c r="T48" s="19">
        <f t="shared" si="291"/>
        <v>2</v>
      </c>
      <c r="U48" s="19">
        <v>2.11</v>
      </c>
      <c r="V48" s="19">
        <v>0.87</v>
      </c>
      <c r="W48" s="25"/>
    </row>
    <row r="49" spans="1:23" ht="15.75" x14ac:dyDescent="0.25">
      <c r="A49" s="12">
        <v>40</v>
      </c>
      <c r="B49" s="22" t="s">
        <v>298</v>
      </c>
      <c r="C49" s="19" t="s">
        <v>156</v>
      </c>
      <c r="D49" s="19" t="s">
        <v>124</v>
      </c>
      <c r="E49" s="12">
        <v>7714.8</v>
      </c>
      <c r="F49" s="17">
        <f t="shared" ref="F49" si="292">E48</f>
        <v>7514.9</v>
      </c>
      <c r="G49" s="19">
        <f t="shared" ref="G49" si="293">E49-F49</f>
        <v>199.90000000000055</v>
      </c>
      <c r="H49" s="91">
        <f t="shared" si="86"/>
        <v>1</v>
      </c>
      <c r="I49" s="19">
        <f t="shared" ref="I49" si="294">G49*H49</f>
        <v>199.90000000000055</v>
      </c>
      <c r="J49" s="12">
        <v>2225.6999999999998</v>
      </c>
      <c r="K49" s="17">
        <f t="shared" ref="K49" si="295">J48</f>
        <v>2224.1</v>
      </c>
      <c r="L49" s="19">
        <f t="shared" ref="L49" si="296">J49-K49</f>
        <v>1.5999999999999091</v>
      </c>
      <c r="M49" s="17">
        <f t="shared" si="90"/>
        <v>1</v>
      </c>
      <c r="N49" s="19">
        <f t="shared" ref="N49" si="297">L49*M49</f>
        <v>1.5999999999999091</v>
      </c>
      <c r="O49" s="17">
        <f t="shared" ref="O49" si="298">N49-I49</f>
        <v>-198.30000000000064</v>
      </c>
      <c r="P49" s="12">
        <v>7538</v>
      </c>
      <c r="Q49" s="17">
        <f t="shared" ref="Q49" si="299">P48</f>
        <v>7536</v>
      </c>
      <c r="R49" s="19">
        <f t="shared" ref="R49" si="300">P49-Q49</f>
        <v>2</v>
      </c>
      <c r="S49" s="17">
        <f t="shared" si="95"/>
        <v>1</v>
      </c>
      <c r="T49" s="19">
        <f t="shared" ref="T49" si="301">R49*S49</f>
        <v>2</v>
      </c>
      <c r="U49" s="19">
        <v>1.79</v>
      </c>
      <c r="V49" s="19">
        <v>0.88</v>
      </c>
      <c r="W49" s="25"/>
    </row>
    <row r="50" spans="1:23" ht="15.75" x14ac:dyDescent="0.25">
      <c r="A50" s="12">
        <v>41</v>
      </c>
      <c r="B50" s="22" t="s">
        <v>299</v>
      </c>
      <c r="C50" s="19" t="s">
        <v>156</v>
      </c>
      <c r="D50" s="19" t="s">
        <v>124</v>
      </c>
      <c r="E50" s="12">
        <v>7917.5</v>
      </c>
      <c r="F50" s="17">
        <f t="shared" ref="F50" si="302">E49</f>
        <v>7714.8</v>
      </c>
      <c r="G50" s="19">
        <f t="shared" ref="G50" si="303">E50-F50</f>
        <v>202.69999999999982</v>
      </c>
      <c r="H50" s="91">
        <f t="shared" si="86"/>
        <v>1</v>
      </c>
      <c r="I50" s="19">
        <f t="shared" ref="I50" si="304">G50*H50</f>
        <v>202.69999999999982</v>
      </c>
      <c r="J50" s="12">
        <v>2229.9</v>
      </c>
      <c r="K50" s="17">
        <f t="shared" ref="K50" si="305">J49</f>
        <v>2225.6999999999998</v>
      </c>
      <c r="L50" s="19">
        <f t="shared" ref="L50" si="306">J50-K50</f>
        <v>4.2000000000002728</v>
      </c>
      <c r="M50" s="17">
        <f t="shared" si="90"/>
        <v>1</v>
      </c>
      <c r="N50" s="19">
        <f t="shared" ref="N50" si="307">L50*M50</f>
        <v>4.2000000000002728</v>
      </c>
      <c r="O50" s="17">
        <f t="shared" ref="O50" si="308">N50-I50</f>
        <v>-198.49999999999955</v>
      </c>
      <c r="P50" s="12">
        <v>7542</v>
      </c>
      <c r="Q50" s="17">
        <f t="shared" ref="Q50" si="309">P49</f>
        <v>7538</v>
      </c>
      <c r="R50" s="19">
        <f t="shared" ref="R50" si="310">P50-Q50</f>
        <v>4</v>
      </c>
      <c r="S50" s="17">
        <f t="shared" si="95"/>
        <v>1</v>
      </c>
      <c r="T50" s="19">
        <f t="shared" ref="T50" si="311">R50*S50</f>
        <v>4</v>
      </c>
      <c r="U50" s="19">
        <v>1.8</v>
      </c>
      <c r="V50" s="19">
        <v>0.9</v>
      </c>
      <c r="W50" s="25"/>
    </row>
    <row r="51" spans="1:23" ht="15.75" x14ac:dyDescent="0.25">
      <c r="A51" s="12">
        <v>42</v>
      </c>
      <c r="B51" s="22" t="s">
        <v>300</v>
      </c>
      <c r="C51" s="19" t="s">
        <v>156</v>
      </c>
      <c r="D51" s="19" t="s">
        <v>124</v>
      </c>
      <c r="E51" s="12">
        <v>8105.9</v>
      </c>
      <c r="F51" s="17">
        <f t="shared" ref="F51:F54" si="312">E50</f>
        <v>7917.5</v>
      </c>
      <c r="G51" s="19">
        <f t="shared" ref="G51:G54" si="313">E51-F51</f>
        <v>188.39999999999964</v>
      </c>
      <c r="H51" s="91">
        <f t="shared" si="86"/>
        <v>1</v>
      </c>
      <c r="I51" s="19">
        <f t="shared" ref="I51:I54" si="314">G51*H51</f>
        <v>188.39999999999964</v>
      </c>
      <c r="J51" s="12">
        <v>2235.9</v>
      </c>
      <c r="K51" s="17">
        <f t="shared" ref="K51:K54" si="315">J50</f>
        <v>2229.9</v>
      </c>
      <c r="L51" s="19">
        <f t="shared" ref="L51:L54" si="316">J51-K51</f>
        <v>6</v>
      </c>
      <c r="M51" s="17">
        <f t="shared" si="90"/>
        <v>1</v>
      </c>
      <c r="N51" s="19">
        <f t="shared" ref="N51:N54" si="317">L51*M51</f>
        <v>6</v>
      </c>
      <c r="O51" s="17">
        <f t="shared" ref="O51:O54" si="318">N51-I51</f>
        <v>-182.39999999999964</v>
      </c>
      <c r="P51" s="12">
        <v>7548</v>
      </c>
      <c r="Q51" s="17">
        <f t="shared" ref="Q51:Q54" si="319">P50</f>
        <v>7542</v>
      </c>
      <c r="R51" s="19">
        <f t="shared" ref="R51" si="320">P51-Q51</f>
        <v>6</v>
      </c>
      <c r="S51" s="17">
        <f t="shared" si="95"/>
        <v>1</v>
      </c>
      <c r="T51" s="19">
        <f t="shared" ref="T51" si="321">R51*S51</f>
        <v>6</v>
      </c>
      <c r="U51" s="19">
        <v>1.47</v>
      </c>
      <c r="V51" s="19">
        <v>0.95</v>
      </c>
      <c r="W51" s="25"/>
    </row>
    <row r="52" spans="1:23" ht="15.75" x14ac:dyDescent="0.25">
      <c r="A52" s="12">
        <v>43</v>
      </c>
      <c r="B52" s="22" t="s">
        <v>301</v>
      </c>
      <c r="C52" s="19" t="s">
        <v>156</v>
      </c>
      <c r="D52" s="19" t="s">
        <v>124</v>
      </c>
      <c r="E52" s="12">
        <v>8289.2000000000007</v>
      </c>
      <c r="F52" s="17">
        <f t="shared" si="312"/>
        <v>8105.9</v>
      </c>
      <c r="G52" s="19">
        <f t="shared" si="313"/>
        <v>183.30000000000109</v>
      </c>
      <c r="H52" s="91">
        <f t="shared" si="86"/>
        <v>1</v>
      </c>
      <c r="I52" s="19">
        <f t="shared" si="314"/>
        <v>183.30000000000109</v>
      </c>
      <c r="J52" s="12">
        <v>2244.6999999999998</v>
      </c>
      <c r="K52" s="17">
        <f t="shared" si="315"/>
        <v>2235.9</v>
      </c>
      <c r="L52" s="19">
        <f t="shared" si="316"/>
        <v>8.7999999999997272</v>
      </c>
      <c r="M52" s="17">
        <f t="shared" si="90"/>
        <v>1</v>
      </c>
      <c r="N52" s="19">
        <f t="shared" si="317"/>
        <v>8.7999999999997272</v>
      </c>
      <c r="O52" s="17">
        <f t="shared" si="318"/>
        <v>-174.50000000000136</v>
      </c>
      <c r="P52" s="12" t="s">
        <v>304</v>
      </c>
      <c r="Q52" s="17">
        <f t="shared" si="319"/>
        <v>7548</v>
      </c>
      <c r="R52" s="19" t="s">
        <v>317</v>
      </c>
      <c r="S52" s="17">
        <f t="shared" si="95"/>
        <v>1</v>
      </c>
      <c r="T52" s="168" t="s">
        <v>317</v>
      </c>
      <c r="U52" s="19">
        <v>1.56</v>
      </c>
      <c r="V52" s="19">
        <v>0.9</v>
      </c>
      <c r="W52" s="25"/>
    </row>
    <row r="53" spans="1:23" ht="15.75" x14ac:dyDescent="0.25">
      <c r="A53" s="105">
        <v>44</v>
      </c>
      <c r="B53" s="22" t="s">
        <v>302</v>
      </c>
      <c r="C53" s="111" t="s">
        <v>156</v>
      </c>
      <c r="D53" s="111" t="s">
        <v>124</v>
      </c>
      <c r="E53" s="105">
        <v>8446.2000000000007</v>
      </c>
      <c r="F53" s="106">
        <f t="shared" si="312"/>
        <v>8289.2000000000007</v>
      </c>
      <c r="G53" s="111">
        <f t="shared" si="313"/>
        <v>157</v>
      </c>
      <c r="H53" s="91">
        <f t="shared" si="86"/>
        <v>1</v>
      </c>
      <c r="I53" s="111">
        <f t="shared" si="314"/>
        <v>157</v>
      </c>
      <c r="J53" s="105">
        <v>2265.4</v>
      </c>
      <c r="K53" s="106">
        <f t="shared" si="315"/>
        <v>2244.6999999999998</v>
      </c>
      <c r="L53" s="111">
        <f t="shared" si="316"/>
        <v>20.700000000000273</v>
      </c>
      <c r="M53" s="106">
        <f t="shared" si="90"/>
        <v>1</v>
      </c>
      <c r="N53" s="111">
        <f t="shared" si="317"/>
        <v>20.700000000000273</v>
      </c>
      <c r="O53" s="106">
        <f t="shared" si="318"/>
        <v>-136.29999999999973</v>
      </c>
      <c r="P53" s="105" t="s">
        <v>304</v>
      </c>
      <c r="Q53" s="106" t="str">
        <f t="shared" si="319"/>
        <v>NV</v>
      </c>
      <c r="R53" s="168" t="s">
        <v>317</v>
      </c>
      <c r="S53" s="106">
        <f t="shared" si="95"/>
        <v>1</v>
      </c>
      <c r="T53" s="168" t="s">
        <v>317</v>
      </c>
      <c r="U53" s="111">
        <v>1.8</v>
      </c>
      <c r="V53" s="111">
        <v>0.9</v>
      </c>
      <c r="W53" s="25"/>
    </row>
    <row r="54" spans="1:23" ht="15.75" x14ac:dyDescent="0.25">
      <c r="A54" s="105">
        <v>45</v>
      </c>
      <c r="B54" s="22" t="s">
        <v>303</v>
      </c>
      <c r="C54" s="111" t="s">
        <v>156</v>
      </c>
      <c r="D54" s="111" t="s">
        <v>124</v>
      </c>
      <c r="E54" s="105">
        <v>8616.1</v>
      </c>
      <c r="F54" s="106">
        <f t="shared" si="312"/>
        <v>8446.2000000000007</v>
      </c>
      <c r="G54" s="111">
        <f t="shared" si="313"/>
        <v>169.89999999999964</v>
      </c>
      <c r="H54" s="91">
        <f t="shared" si="86"/>
        <v>1</v>
      </c>
      <c r="I54" s="111">
        <f t="shared" si="314"/>
        <v>169.89999999999964</v>
      </c>
      <c r="J54" s="105">
        <v>2272.3000000000002</v>
      </c>
      <c r="K54" s="106">
        <f t="shared" si="315"/>
        <v>2265.4</v>
      </c>
      <c r="L54" s="111">
        <f t="shared" si="316"/>
        <v>6.9000000000000909</v>
      </c>
      <c r="M54" s="106">
        <f t="shared" si="90"/>
        <v>1</v>
      </c>
      <c r="N54" s="111">
        <f t="shared" si="317"/>
        <v>6.9000000000000909</v>
      </c>
      <c r="O54" s="106">
        <f t="shared" si="318"/>
        <v>-162.99999999999955</v>
      </c>
      <c r="P54" s="115" t="s">
        <v>304</v>
      </c>
      <c r="Q54" s="106" t="str">
        <f t="shared" si="319"/>
        <v>NV</v>
      </c>
      <c r="R54" s="168" t="s">
        <v>317</v>
      </c>
      <c r="S54" s="106">
        <f t="shared" si="95"/>
        <v>1</v>
      </c>
      <c r="T54" s="168" t="s">
        <v>317</v>
      </c>
      <c r="U54" s="111">
        <v>1.89</v>
      </c>
      <c r="V54" s="111">
        <v>0.85</v>
      </c>
      <c r="W54" s="25"/>
    </row>
    <row r="55" spans="1:23" ht="15.75" x14ac:dyDescent="0.25">
      <c r="A55" s="120">
        <v>46</v>
      </c>
      <c r="B55" s="116" t="s">
        <v>305</v>
      </c>
      <c r="C55" s="118" t="s">
        <v>156</v>
      </c>
      <c r="D55" s="118" t="s">
        <v>124</v>
      </c>
      <c r="E55" s="120">
        <v>8847.2999999999993</v>
      </c>
      <c r="F55" s="119">
        <f t="shared" ref="F55" si="322">E54</f>
        <v>8616.1</v>
      </c>
      <c r="G55" s="118">
        <f t="shared" ref="G55" si="323">E55-F55</f>
        <v>231.19999999999891</v>
      </c>
      <c r="H55" s="91">
        <f t="shared" si="86"/>
        <v>1</v>
      </c>
      <c r="I55" s="118">
        <f t="shared" ref="I55" si="324">G55*H55</f>
        <v>231.19999999999891</v>
      </c>
      <c r="J55" s="120">
        <v>2274.6</v>
      </c>
      <c r="K55" s="119">
        <f t="shared" ref="K55" si="325">J54</f>
        <v>2272.3000000000002</v>
      </c>
      <c r="L55" s="118">
        <f t="shared" ref="L55" si="326">J55-K55</f>
        <v>2.2999999999997272</v>
      </c>
      <c r="M55" s="119">
        <f t="shared" si="90"/>
        <v>1</v>
      </c>
      <c r="N55" s="118">
        <f t="shared" ref="N55" si="327">L55*M55</f>
        <v>2.2999999999997272</v>
      </c>
      <c r="O55" s="119">
        <f t="shared" ref="O55" si="328">N55-I55</f>
        <v>-228.89999999999918</v>
      </c>
      <c r="P55" s="120" t="s">
        <v>304</v>
      </c>
      <c r="Q55" s="119" t="str">
        <f t="shared" ref="Q55" si="329">P54</f>
        <v>NV</v>
      </c>
      <c r="R55" s="168" t="s">
        <v>317</v>
      </c>
      <c r="S55" s="119">
        <f t="shared" si="95"/>
        <v>1</v>
      </c>
      <c r="T55" s="168" t="s">
        <v>317</v>
      </c>
      <c r="U55" s="118">
        <v>2.13</v>
      </c>
      <c r="V55" s="118">
        <v>0.93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6">
        <v>47</v>
      </c>
      <c r="B57" s="116" t="s">
        <v>306</v>
      </c>
      <c r="C57" s="129" t="s">
        <v>156</v>
      </c>
      <c r="D57" s="129" t="s">
        <v>124</v>
      </c>
      <c r="E57" s="126">
        <v>9094.4</v>
      </c>
      <c r="F57" s="127">
        <f t="shared" ref="F57" si="330">E55</f>
        <v>8847.2999999999993</v>
      </c>
      <c r="G57" s="129">
        <f t="shared" ref="G57" si="331">E57-F57</f>
        <v>247.10000000000036</v>
      </c>
      <c r="H57" s="91">
        <f>H55</f>
        <v>1</v>
      </c>
      <c r="I57" s="129">
        <f t="shared" ref="I57" si="332">G57*H57</f>
        <v>247.10000000000036</v>
      </c>
      <c r="J57" s="126">
        <v>2279</v>
      </c>
      <c r="K57" s="127">
        <f t="shared" ref="K57" si="333">J55</f>
        <v>2274.6</v>
      </c>
      <c r="L57" s="129">
        <f t="shared" ref="L57" si="334">J57-K57</f>
        <v>4.4000000000000909</v>
      </c>
      <c r="M57" s="127">
        <f>M55</f>
        <v>1</v>
      </c>
      <c r="N57" s="129">
        <f t="shared" ref="N57" si="335">L57*M57</f>
        <v>4.4000000000000909</v>
      </c>
      <c r="O57" s="127">
        <f t="shared" ref="O57" si="336">N57-I57</f>
        <v>-242.70000000000027</v>
      </c>
      <c r="P57" s="126" t="s">
        <v>304</v>
      </c>
      <c r="Q57" s="127" t="str">
        <f t="shared" ref="Q57" si="337">P55</f>
        <v>NV</v>
      </c>
      <c r="R57" s="168" t="s">
        <v>317</v>
      </c>
      <c r="S57" s="127">
        <f>S55</f>
        <v>1</v>
      </c>
      <c r="T57" s="168" t="s">
        <v>317</v>
      </c>
      <c r="U57" s="129">
        <v>2.2000000000000002</v>
      </c>
      <c r="V57" s="123">
        <v>0.92</v>
      </c>
      <c r="W57" s="25"/>
    </row>
    <row r="58" spans="1:23" ht="15.75" x14ac:dyDescent="0.25">
      <c r="A58" s="126">
        <v>48</v>
      </c>
      <c r="B58" s="116" t="s">
        <v>307</v>
      </c>
      <c r="C58" s="129" t="s">
        <v>156</v>
      </c>
      <c r="D58" s="129" t="s">
        <v>124</v>
      </c>
      <c r="E58" s="126">
        <v>9321</v>
      </c>
      <c r="F58" s="127">
        <f t="shared" ref="F58" si="338">E57</f>
        <v>9094.4</v>
      </c>
      <c r="G58" s="129">
        <f t="shared" ref="G58" si="339">E58-F58</f>
        <v>226.60000000000036</v>
      </c>
      <c r="H58" s="91">
        <f t="shared" si="86"/>
        <v>1</v>
      </c>
      <c r="I58" s="129">
        <f t="shared" ref="I58" si="340">G58*H58</f>
        <v>226.60000000000036</v>
      </c>
      <c r="J58" s="126">
        <v>2284.4</v>
      </c>
      <c r="K58" s="127">
        <f t="shared" ref="K58" si="341">J57</f>
        <v>2279</v>
      </c>
      <c r="L58" s="129">
        <f t="shared" ref="L58" si="342">J58-K58</f>
        <v>5.4000000000000909</v>
      </c>
      <c r="M58" s="127">
        <f t="shared" si="90"/>
        <v>1</v>
      </c>
      <c r="N58" s="129">
        <f t="shared" ref="N58" si="343">L58*M58</f>
        <v>5.4000000000000909</v>
      </c>
      <c r="O58" s="127">
        <f t="shared" ref="O58" si="344">N58-I58</f>
        <v>-221.20000000000027</v>
      </c>
      <c r="P58" s="126" t="s">
        <v>304</v>
      </c>
      <c r="Q58" s="127" t="str">
        <f t="shared" ref="Q58" si="345">P57</f>
        <v>NV</v>
      </c>
      <c r="R58" s="168" t="s">
        <v>317</v>
      </c>
      <c r="S58" s="127">
        <f t="shared" si="95"/>
        <v>1</v>
      </c>
      <c r="T58" s="168" t="s">
        <v>317</v>
      </c>
      <c r="U58" s="129">
        <v>1.58</v>
      </c>
      <c r="V58" s="129">
        <v>0.9</v>
      </c>
      <c r="W58" s="25"/>
    </row>
    <row r="59" spans="1:23" ht="15.75" x14ac:dyDescent="0.25">
      <c r="A59" s="135">
        <v>49</v>
      </c>
      <c r="B59" s="116" t="s">
        <v>309</v>
      </c>
      <c r="C59" s="138" t="s">
        <v>156</v>
      </c>
      <c r="D59" s="138" t="s">
        <v>124</v>
      </c>
      <c r="E59" s="135">
        <v>9538.2999999999993</v>
      </c>
      <c r="F59" s="136">
        <f t="shared" ref="F59" si="346">E58</f>
        <v>9321</v>
      </c>
      <c r="G59" s="138">
        <f t="shared" ref="G59:G61" si="347">E59-F59</f>
        <v>217.29999999999927</v>
      </c>
      <c r="H59" s="91">
        <f t="shared" si="86"/>
        <v>1</v>
      </c>
      <c r="I59" s="138">
        <f t="shared" ref="I59:I61" si="348">G59*H59</f>
        <v>217.29999999999927</v>
      </c>
      <c r="J59" s="135">
        <v>2288</v>
      </c>
      <c r="K59" s="136">
        <f t="shared" ref="K59" si="349">J58</f>
        <v>2284.4</v>
      </c>
      <c r="L59" s="138">
        <f t="shared" ref="L59:L61" si="350">J59-K59</f>
        <v>3.5999999999999091</v>
      </c>
      <c r="M59" s="136">
        <f t="shared" si="90"/>
        <v>1</v>
      </c>
      <c r="N59" s="138">
        <f t="shared" ref="N59:N61" si="351">L59*M59</f>
        <v>3.5999999999999091</v>
      </c>
      <c r="O59" s="136">
        <f t="shared" ref="O59:O61" si="352">N59-I59</f>
        <v>-213.69999999999936</v>
      </c>
      <c r="P59" s="135" t="s">
        <v>304</v>
      </c>
      <c r="Q59" s="136" t="str">
        <f t="shared" ref="Q59" si="353">P58</f>
        <v>NV</v>
      </c>
      <c r="R59" s="168" t="s">
        <v>317</v>
      </c>
      <c r="S59" s="136">
        <f t="shared" si="95"/>
        <v>1</v>
      </c>
      <c r="T59" s="168" t="s">
        <v>317</v>
      </c>
      <c r="U59" s="138">
        <v>1.73</v>
      </c>
      <c r="V59" s="138">
        <v>0.86</v>
      </c>
      <c r="W59" s="25"/>
    </row>
    <row r="60" spans="1:23" ht="15.75" x14ac:dyDescent="0.25">
      <c r="A60" s="146">
        <v>50</v>
      </c>
      <c r="B60" s="116" t="s">
        <v>310</v>
      </c>
      <c r="C60" s="144" t="s">
        <v>156</v>
      </c>
      <c r="D60" s="144" t="s">
        <v>124</v>
      </c>
      <c r="E60" s="146">
        <v>9746.9</v>
      </c>
      <c r="F60" s="145">
        <f t="shared" ref="F60" si="354">E58</f>
        <v>9321</v>
      </c>
      <c r="G60" s="144">
        <f t="shared" si="347"/>
        <v>425.89999999999964</v>
      </c>
      <c r="H60" s="91">
        <f>H58</f>
        <v>1</v>
      </c>
      <c r="I60" s="144">
        <f t="shared" si="348"/>
        <v>425.89999999999964</v>
      </c>
      <c r="J60" s="146">
        <v>2290.4</v>
      </c>
      <c r="K60" s="145">
        <f t="shared" ref="K60" si="355">J58</f>
        <v>2284.4</v>
      </c>
      <c r="L60" s="144">
        <f t="shared" si="350"/>
        <v>6</v>
      </c>
      <c r="M60" s="145">
        <f>M58</f>
        <v>1</v>
      </c>
      <c r="N60" s="144">
        <f t="shared" si="351"/>
        <v>6</v>
      </c>
      <c r="O60" s="145">
        <f t="shared" si="352"/>
        <v>-419.89999999999964</v>
      </c>
      <c r="P60" s="146" t="s">
        <v>304</v>
      </c>
      <c r="Q60" s="145" t="str">
        <f t="shared" ref="Q60" si="356">P58</f>
        <v>NV</v>
      </c>
      <c r="R60" s="168" t="s">
        <v>317</v>
      </c>
      <c r="S60" s="145">
        <f>S58</f>
        <v>1</v>
      </c>
      <c r="T60" s="168" t="s">
        <v>317</v>
      </c>
      <c r="U60" s="144">
        <v>1.17</v>
      </c>
      <c r="V60" s="144">
        <v>0.83</v>
      </c>
      <c r="W60" s="25"/>
    </row>
    <row r="61" spans="1:23" ht="15.75" x14ac:dyDescent="0.25">
      <c r="A61" s="151">
        <v>51</v>
      </c>
      <c r="B61" s="116" t="s">
        <v>316</v>
      </c>
      <c r="C61" s="149" t="s">
        <v>156</v>
      </c>
      <c r="D61" s="149" t="s">
        <v>124</v>
      </c>
      <c r="E61" s="151">
        <v>9979.1</v>
      </c>
      <c r="F61" s="150">
        <v>9746.9</v>
      </c>
      <c r="G61" s="149">
        <f t="shared" si="347"/>
        <v>232.20000000000073</v>
      </c>
      <c r="H61" s="91">
        <f>H58</f>
        <v>1</v>
      </c>
      <c r="I61" s="149">
        <f t="shared" si="348"/>
        <v>232.20000000000073</v>
      </c>
      <c r="J61" s="151">
        <v>2292.6999999999998</v>
      </c>
      <c r="K61" s="150">
        <v>2290.4</v>
      </c>
      <c r="L61" s="149">
        <f t="shared" si="350"/>
        <v>2.2999999999997272</v>
      </c>
      <c r="M61" s="150">
        <f>M58</f>
        <v>1</v>
      </c>
      <c r="N61" s="149">
        <f t="shared" si="351"/>
        <v>2.2999999999997272</v>
      </c>
      <c r="O61" s="150">
        <f t="shared" si="352"/>
        <v>-229.900000000001</v>
      </c>
      <c r="P61" s="151" t="s">
        <v>304</v>
      </c>
      <c r="Q61" s="150" t="str">
        <f t="shared" ref="Q61" si="357">P58</f>
        <v>NV</v>
      </c>
      <c r="R61" s="168" t="s">
        <v>317</v>
      </c>
      <c r="S61" s="150">
        <f>S58</f>
        <v>1</v>
      </c>
      <c r="T61" s="168" t="s">
        <v>317</v>
      </c>
      <c r="U61" s="149">
        <v>1.17</v>
      </c>
      <c r="V61" s="149">
        <v>0.83</v>
      </c>
      <c r="W61" s="25"/>
    </row>
    <row r="62" spans="1:23" ht="15.75" x14ac:dyDescent="0.25">
      <c r="A62" s="155">
        <v>52</v>
      </c>
      <c r="B62" s="116" t="s">
        <v>319</v>
      </c>
      <c r="C62" s="142" t="s">
        <v>156</v>
      </c>
      <c r="D62" s="142" t="s">
        <v>124</v>
      </c>
      <c r="E62" s="139">
        <v>10192.9</v>
      </c>
      <c r="F62" s="140">
        <v>9979.1</v>
      </c>
      <c r="G62" s="142">
        <f t="shared" ref="G62:G64" si="358">E62-F62</f>
        <v>213.79999999999927</v>
      </c>
      <c r="H62" s="91">
        <f>H59</f>
        <v>1</v>
      </c>
      <c r="I62" s="142">
        <f t="shared" ref="I62:I64" si="359">G62*H62</f>
        <v>213.79999999999927</v>
      </c>
      <c r="J62" s="139">
        <v>2296.8000000000002</v>
      </c>
      <c r="K62" s="140">
        <v>2292.6999999999998</v>
      </c>
      <c r="L62" s="142">
        <f t="shared" ref="L62:L64" si="360">J62-K62</f>
        <v>4.1000000000003638</v>
      </c>
      <c r="M62" s="140">
        <f>M59</f>
        <v>1</v>
      </c>
      <c r="N62" s="142">
        <f t="shared" ref="N62:N64" si="361">L62*M62</f>
        <v>4.1000000000003638</v>
      </c>
      <c r="O62" s="140">
        <f t="shared" ref="O62:O64" si="362">N62-I62</f>
        <v>-209.69999999999891</v>
      </c>
      <c r="P62" s="139" t="s">
        <v>304</v>
      </c>
      <c r="Q62" s="140" t="str">
        <f t="shared" ref="Q62" si="363">P59</f>
        <v>NV</v>
      </c>
      <c r="R62" s="168" t="s">
        <v>317</v>
      </c>
      <c r="S62" s="140">
        <f>S59</f>
        <v>1</v>
      </c>
      <c r="T62" s="168" t="s">
        <v>317</v>
      </c>
      <c r="U62" s="142">
        <v>1.17</v>
      </c>
      <c r="V62" s="142">
        <v>0.83</v>
      </c>
      <c r="W62" s="25"/>
    </row>
    <row r="63" spans="1:23" ht="15.75" x14ac:dyDescent="0.25">
      <c r="A63" s="170">
        <v>53</v>
      </c>
      <c r="B63" s="116" t="s">
        <v>321</v>
      </c>
      <c r="C63" s="168" t="s">
        <v>156</v>
      </c>
      <c r="D63" s="168" t="s">
        <v>124</v>
      </c>
      <c r="E63" s="170">
        <v>10425.200000000001</v>
      </c>
      <c r="F63" s="170">
        <v>10192.9</v>
      </c>
      <c r="G63" s="168">
        <f t="shared" si="358"/>
        <v>232.30000000000109</v>
      </c>
      <c r="H63" s="91">
        <f>H59</f>
        <v>1</v>
      </c>
      <c r="I63" s="168">
        <f t="shared" si="359"/>
        <v>232.30000000000109</v>
      </c>
      <c r="J63" s="170">
        <v>2301.9</v>
      </c>
      <c r="K63" s="170">
        <v>2296.8000000000002</v>
      </c>
      <c r="L63" s="168">
        <f t="shared" si="360"/>
        <v>5.0999999999999091</v>
      </c>
      <c r="M63" s="169">
        <f>M59</f>
        <v>1</v>
      </c>
      <c r="N63" s="168">
        <f t="shared" si="361"/>
        <v>5.0999999999999091</v>
      </c>
      <c r="O63" s="169">
        <f t="shared" si="362"/>
        <v>-227.20000000000118</v>
      </c>
      <c r="P63" s="170" t="s">
        <v>304</v>
      </c>
      <c r="Q63" s="169" t="str">
        <f t="shared" ref="Q63" si="364">P59</f>
        <v>NV</v>
      </c>
      <c r="R63" s="168" t="s">
        <v>317</v>
      </c>
      <c r="S63" s="169">
        <f>S59</f>
        <v>1</v>
      </c>
      <c r="T63" s="168" t="s">
        <v>317</v>
      </c>
      <c r="U63" s="168">
        <v>1.62</v>
      </c>
      <c r="V63" s="168">
        <v>0.93</v>
      </c>
      <c r="W63" s="25"/>
    </row>
    <row r="64" spans="1:23" ht="15.75" x14ac:dyDescent="0.25">
      <c r="A64" s="175">
        <v>54</v>
      </c>
      <c r="B64" s="116" t="s">
        <v>327</v>
      </c>
      <c r="C64" s="178" t="s">
        <v>156</v>
      </c>
      <c r="D64" s="178" t="s">
        <v>124</v>
      </c>
      <c r="E64" s="175">
        <v>10640.1</v>
      </c>
      <c r="F64" s="175">
        <v>10425.200000000001</v>
      </c>
      <c r="G64" s="178">
        <f t="shared" si="358"/>
        <v>214.89999999999964</v>
      </c>
      <c r="H64" s="91">
        <f>H59</f>
        <v>1</v>
      </c>
      <c r="I64" s="178">
        <f t="shared" si="359"/>
        <v>214.89999999999964</v>
      </c>
      <c r="J64" s="175">
        <v>2308.6</v>
      </c>
      <c r="K64" s="175">
        <v>2301.9</v>
      </c>
      <c r="L64" s="178">
        <f t="shared" si="360"/>
        <v>6.6999999999998181</v>
      </c>
      <c r="M64" s="176">
        <f>M59</f>
        <v>1</v>
      </c>
      <c r="N64" s="178">
        <f t="shared" si="361"/>
        <v>6.6999999999998181</v>
      </c>
      <c r="O64" s="176">
        <f t="shared" si="362"/>
        <v>-208.19999999999982</v>
      </c>
      <c r="P64" s="175" t="s">
        <v>304</v>
      </c>
      <c r="Q64" s="176" t="str">
        <f t="shared" ref="Q64" si="365">P59</f>
        <v>NV</v>
      </c>
      <c r="R64" s="178" t="s">
        <v>317</v>
      </c>
      <c r="S64" s="176">
        <f>S59</f>
        <v>1</v>
      </c>
      <c r="T64" s="178" t="s">
        <v>317</v>
      </c>
      <c r="U64" s="178">
        <v>1.62</v>
      </c>
      <c r="V64" s="178">
        <v>0.93</v>
      </c>
      <c r="W64" s="25"/>
    </row>
    <row r="65" spans="1:23" ht="15.75" x14ac:dyDescent="0.25">
      <c r="A65" s="155">
        <v>54</v>
      </c>
      <c r="B65" s="116" t="s">
        <v>330</v>
      </c>
      <c r="C65" s="158" t="s">
        <v>156</v>
      </c>
      <c r="D65" s="158" t="s">
        <v>124</v>
      </c>
      <c r="E65" s="155">
        <v>11387.5</v>
      </c>
      <c r="F65" s="175">
        <v>10640.1</v>
      </c>
      <c r="G65" s="158">
        <f t="shared" ref="G65:G66" si="366">E65-F65</f>
        <v>747.39999999999964</v>
      </c>
      <c r="H65" s="91">
        <f>H60</f>
        <v>1</v>
      </c>
      <c r="I65" s="158">
        <f t="shared" ref="I65:I66" si="367">G65*H65</f>
        <v>747.39999999999964</v>
      </c>
      <c r="J65" s="155">
        <v>2334</v>
      </c>
      <c r="K65" s="175">
        <v>2308.6</v>
      </c>
      <c r="L65" s="158">
        <f t="shared" ref="L65:L66" si="368">J65-K65</f>
        <v>25.400000000000091</v>
      </c>
      <c r="M65" s="156">
        <f>M60</f>
        <v>1</v>
      </c>
      <c r="N65" s="158">
        <f t="shared" ref="N65:N66" si="369">L65*M65</f>
        <v>25.400000000000091</v>
      </c>
      <c r="O65" s="156">
        <f t="shared" ref="O65:O66" si="370">N65-I65</f>
        <v>-721.99999999999955</v>
      </c>
      <c r="P65" s="155" t="s">
        <v>304</v>
      </c>
      <c r="Q65" s="156" t="str">
        <f t="shared" ref="Q65" si="371">P60</f>
        <v>NV</v>
      </c>
      <c r="R65" s="168" t="s">
        <v>317</v>
      </c>
      <c r="S65" s="156">
        <f>S60</f>
        <v>1</v>
      </c>
      <c r="T65" s="168" t="s">
        <v>317</v>
      </c>
      <c r="U65" s="158">
        <v>1.62</v>
      </c>
      <c r="V65" s="158">
        <v>0.93</v>
      </c>
      <c r="W65" s="25"/>
    </row>
    <row r="66" spans="1:23" ht="15.75" x14ac:dyDescent="0.25">
      <c r="A66" s="183">
        <v>54</v>
      </c>
      <c r="B66" s="116" t="s">
        <v>331</v>
      </c>
      <c r="C66" s="186" t="s">
        <v>156</v>
      </c>
      <c r="D66" s="186" t="s">
        <v>124</v>
      </c>
      <c r="E66" s="183">
        <v>12226.1</v>
      </c>
      <c r="F66" s="183">
        <v>11387.5</v>
      </c>
      <c r="G66" s="186">
        <f t="shared" si="366"/>
        <v>838.60000000000036</v>
      </c>
      <c r="H66" s="91">
        <f>H60</f>
        <v>1</v>
      </c>
      <c r="I66" s="186">
        <f t="shared" si="367"/>
        <v>838.60000000000036</v>
      </c>
      <c r="J66" s="183">
        <v>2428.8000000000002</v>
      </c>
      <c r="K66" s="183">
        <v>2334</v>
      </c>
      <c r="L66" s="186">
        <f t="shared" si="368"/>
        <v>94.800000000000182</v>
      </c>
      <c r="M66" s="184">
        <f>M60</f>
        <v>1</v>
      </c>
      <c r="N66" s="186">
        <f t="shared" si="369"/>
        <v>94.800000000000182</v>
      </c>
      <c r="O66" s="184">
        <f t="shared" si="370"/>
        <v>-743.80000000000018</v>
      </c>
      <c r="P66" s="183" t="s">
        <v>304</v>
      </c>
      <c r="Q66" s="184" t="str">
        <f t="shared" ref="Q66" si="372">P60</f>
        <v>NV</v>
      </c>
      <c r="R66" s="186" t="s">
        <v>317</v>
      </c>
      <c r="S66" s="184">
        <f>S60</f>
        <v>1</v>
      </c>
      <c r="T66" s="186" t="s">
        <v>317</v>
      </c>
      <c r="U66" s="186">
        <v>1.62</v>
      </c>
      <c r="V66" s="186">
        <v>0.93</v>
      </c>
      <c r="W66" s="25"/>
    </row>
    <row r="67" spans="1:23" ht="15.75" x14ac:dyDescent="0.25">
      <c r="A67" s="182">
        <v>54</v>
      </c>
      <c r="B67" s="116" t="s">
        <v>332</v>
      </c>
      <c r="C67" s="180" t="s">
        <v>156</v>
      </c>
      <c r="D67" s="180" t="s">
        <v>124</v>
      </c>
      <c r="E67" s="182">
        <v>13163.9</v>
      </c>
      <c r="F67" s="182">
        <v>12226.1</v>
      </c>
      <c r="G67" s="180">
        <f t="shared" ref="G67" si="373">E67-F67</f>
        <v>937.79999999999927</v>
      </c>
      <c r="H67" s="91">
        <f>H61</f>
        <v>1</v>
      </c>
      <c r="I67" s="180">
        <f t="shared" ref="I67" si="374">G67*H67</f>
        <v>937.79999999999927</v>
      </c>
      <c r="J67" s="182">
        <v>2445.5</v>
      </c>
      <c r="K67" s="182">
        <v>2428.8000000000002</v>
      </c>
      <c r="L67" s="180">
        <f t="shared" ref="L67" si="375">J67-K67</f>
        <v>16.699999999999818</v>
      </c>
      <c r="M67" s="181">
        <f>M61</f>
        <v>1</v>
      </c>
      <c r="N67" s="180">
        <f t="shared" ref="N67" si="376">L67*M67</f>
        <v>16.699999999999818</v>
      </c>
      <c r="O67" s="181">
        <f t="shared" ref="O67" si="377">N67-I67</f>
        <v>-921.09999999999945</v>
      </c>
      <c r="P67" s="182" t="s">
        <v>304</v>
      </c>
      <c r="Q67" s="181" t="str">
        <f t="shared" ref="Q67" si="378">P61</f>
        <v>NV</v>
      </c>
      <c r="R67" s="180" t="s">
        <v>317</v>
      </c>
      <c r="S67" s="181">
        <f>S61</f>
        <v>1</v>
      </c>
      <c r="T67" s="180" t="s">
        <v>317</v>
      </c>
      <c r="U67" s="180">
        <v>1.62</v>
      </c>
      <c r="V67" s="180">
        <v>0.93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4"/>
      <c r="H68" s="22" t="s">
        <v>121</v>
      </c>
      <c r="I68" s="164">
        <f>SUM(I57:I65)</f>
        <v>2757.5</v>
      </c>
      <c r="J68" s="164"/>
      <c r="K68" s="162"/>
      <c r="L68" s="164"/>
      <c r="M68" s="162"/>
      <c r="N68" s="164">
        <f>SUM(N57:N65)</f>
        <v>63</v>
      </c>
      <c r="O68" s="164">
        <f>SUM(O57:O65)</f>
        <v>-2694.5</v>
      </c>
      <c r="P68" s="164"/>
      <c r="Q68" s="162"/>
      <c r="R68" s="164"/>
      <c r="S68" s="162"/>
      <c r="T68" s="164">
        <f>SUM(T57:T65)</f>
        <v>0</v>
      </c>
      <c r="U68" s="164"/>
      <c r="V68" s="164"/>
      <c r="W68" s="31"/>
    </row>
    <row r="69" spans="1:23" ht="15.75" x14ac:dyDescent="0.25">
      <c r="A69" s="31">
        <v>1</v>
      </c>
      <c r="B69" s="31" t="s">
        <v>23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37"/>
      <c r="Q69" s="38"/>
      <c r="R69" s="24"/>
      <c r="S69" s="38"/>
      <c r="T69" s="24"/>
      <c r="U69" s="25"/>
      <c r="V69" s="25"/>
      <c r="W69" s="25"/>
    </row>
    <row r="70" spans="1:23" ht="15.75" x14ac:dyDescent="0.25">
      <c r="A70" s="31">
        <v>2</v>
      </c>
      <c r="B70" s="31" t="s">
        <v>24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37"/>
      <c r="Q70" s="38"/>
      <c r="R70" s="24"/>
      <c r="S70" s="38"/>
      <c r="T70" s="24"/>
      <c r="U70" s="25"/>
      <c r="V70" s="25"/>
      <c r="W70" s="25"/>
    </row>
    <row r="71" spans="1:23" ht="15.75" x14ac:dyDescent="0.25">
      <c r="A71" s="31">
        <v>3</v>
      </c>
      <c r="B71" s="31" t="s">
        <v>25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37"/>
      <c r="Q71" s="38"/>
      <c r="R71" s="24"/>
      <c r="S71" s="38"/>
      <c r="T71" s="24"/>
      <c r="U71" s="25"/>
      <c r="V71" s="25"/>
      <c r="W71" s="25"/>
    </row>
    <row r="74" spans="1:23" x14ac:dyDescent="0.25">
      <c r="R74" t="s">
        <v>65</v>
      </c>
    </row>
  </sheetData>
  <mergeCells count="20">
    <mergeCell ref="J5:N5"/>
    <mergeCell ref="O5:O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81"/>
  <sheetViews>
    <sheetView view="pageBreakPreview" topLeftCell="A43" zoomScale="85" zoomScaleNormal="85" zoomScaleSheetLayoutView="85" workbookViewId="0">
      <selection activeCell="C70" sqref="C70"/>
    </sheetView>
  </sheetViews>
  <sheetFormatPr defaultRowHeight="15" x14ac:dyDescent="0.25"/>
  <cols>
    <col min="1" max="1" width="7.5703125" customWidth="1"/>
    <col min="2" max="2" width="13" customWidth="1"/>
    <col min="3" max="3" width="12.28515625" customWidth="1"/>
    <col min="4" max="4" width="12.7109375" customWidth="1"/>
    <col min="5" max="6" width="9.5703125" customWidth="1"/>
    <col min="7" max="7" width="7.42578125" customWidth="1"/>
    <col min="8" max="8" width="10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159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157</v>
      </c>
      <c r="C3" s="207"/>
      <c r="D3" s="12" t="s">
        <v>6</v>
      </c>
      <c r="E3" s="201" t="s">
        <v>200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132</v>
      </c>
      <c r="W3" s="25"/>
    </row>
    <row r="4" spans="1:23" ht="59.25" customHeight="1" x14ac:dyDescent="0.25">
      <c r="A4" s="12" t="s">
        <v>0</v>
      </c>
      <c r="B4" s="216" t="s">
        <v>158</v>
      </c>
      <c r="C4" s="216"/>
      <c r="D4" s="12" t="s">
        <v>9</v>
      </c>
      <c r="E4" s="207">
        <v>9740661819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 t="s">
        <v>165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160</v>
      </c>
      <c r="D7" s="19" t="s">
        <v>124</v>
      </c>
      <c r="E7" s="17">
        <v>8.6999999999999993</v>
      </c>
      <c r="F7" s="17">
        <v>0.9</v>
      </c>
      <c r="G7" s="19">
        <f t="shared" ref="G7" si="0">E7-F7</f>
        <v>7.7999999999999989</v>
      </c>
      <c r="H7" s="17">
        <v>1</v>
      </c>
      <c r="I7" s="19">
        <f t="shared" ref="I7" si="1">G7*H7</f>
        <v>7.7999999999999989</v>
      </c>
      <c r="J7" s="17">
        <v>146.4</v>
      </c>
      <c r="K7" s="17">
        <v>0.2</v>
      </c>
      <c r="L7" s="19">
        <f t="shared" ref="L7" si="2">J7-K7</f>
        <v>146.20000000000002</v>
      </c>
      <c r="M7" s="17">
        <v>1</v>
      </c>
      <c r="N7" s="19">
        <f t="shared" ref="N7" si="3">L7*M7</f>
        <v>146.20000000000002</v>
      </c>
      <c r="O7" s="17">
        <f>N7-I7</f>
        <v>138.4</v>
      </c>
      <c r="P7" s="17">
        <v>2380</v>
      </c>
      <c r="Q7" s="17">
        <v>2380</v>
      </c>
      <c r="R7" s="19">
        <f t="shared" ref="R7" si="4">P7-Q7</f>
        <v>0</v>
      </c>
      <c r="S7" s="17">
        <v>1</v>
      </c>
      <c r="T7" s="19">
        <f t="shared" ref="T7" si="5">R7*S7</f>
        <v>0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160</v>
      </c>
      <c r="D8" s="19" t="s">
        <v>124</v>
      </c>
      <c r="E8" s="17">
        <v>21.4</v>
      </c>
      <c r="F8" s="17">
        <f t="shared" ref="F8:F13" si="6">E7</f>
        <v>8.6999999999999993</v>
      </c>
      <c r="G8" s="19">
        <f t="shared" ref="G8" si="7">E8-F8</f>
        <v>12.7</v>
      </c>
      <c r="H8" s="17">
        <f t="shared" ref="H8:H16" si="8">H7</f>
        <v>1</v>
      </c>
      <c r="I8" s="19">
        <f t="shared" ref="I8" si="9">G8*H8</f>
        <v>12.7</v>
      </c>
      <c r="J8" s="17">
        <v>380.1</v>
      </c>
      <c r="K8" s="17">
        <f t="shared" ref="K8:K13" si="10">J7</f>
        <v>146.4</v>
      </c>
      <c r="L8" s="19">
        <f t="shared" ref="L8" si="11">J8-K8</f>
        <v>233.70000000000002</v>
      </c>
      <c r="M8" s="17">
        <f t="shared" ref="M8:M16" si="12">M7</f>
        <v>1</v>
      </c>
      <c r="N8" s="19">
        <f t="shared" ref="N8" si="13">L8*M8</f>
        <v>233.70000000000002</v>
      </c>
      <c r="O8" s="17">
        <f>N8-I8</f>
        <v>221.00000000000003</v>
      </c>
      <c r="P8" s="17">
        <v>0</v>
      </c>
      <c r="Q8" s="17">
        <v>0</v>
      </c>
      <c r="R8" s="19">
        <f t="shared" ref="R8" si="14">P8-Q8</f>
        <v>0</v>
      </c>
      <c r="S8" s="17">
        <f t="shared" ref="S8:S16" si="15">S7</f>
        <v>1</v>
      </c>
      <c r="T8" s="19">
        <f t="shared" ref="T8" si="16">R8*S8</f>
        <v>0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160</v>
      </c>
      <c r="D9" s="19" t="s">
        <v>124</v>
      </c>
      <c r="E9" s="17">
        <v>34.299999999999997</v>
      </c>
      <c r="F9" s="17">
        <f t="shared" si="6"/>
        <v>21.4</v>
      </c>
      <c r="G9" s="19">
        <f t="shared" ref="G9" si="17">E9-F9</f>
        <v>12.899999999999999</v>
      </c>
      <c r="H9" s="17">
        <f t="shared" si="8"/>
        <v>1</v>
      </c>
      <c r="I9" s="19">
        <f t="shared" ref="I9" si="18">G9*H9</f>
        <v>12.899999999999999</v>
      </c>
      <c r="J9" s="17">
        <v>586.6</v>
      </c>
      <c r="K9" s="17">
        <f t="shared" si="10"/>
        <v>380.1</v>
      </c>
      <c r="L9" s="19">
        <f t="shared" ref="L9" si="19">J9-K9</f>
        <v>206.5</v>
      </c>
      <c r="M9" s="17">
        <f t="shared" si="12"/>
        <v>1</v>
      </c>
      <c r="N9" s="19">
        <f t="shared" ref="N9" si="20">L9*M9</f>
        <v>206.5</v>
      </c>
      <c r="O9" s="12">
        <f t="shared" ref="O9:O16" si="21">SUM(O7)</f>
        <v>138.4</v>
      </c>
      <c r="P9" s="17">
        <v>240.7</v>
      </c>
      <c r="Q9" s="17">
        <v>0</v>
      </c>
      <c r="R9" s="19">
        <f t="shared" ref="R9" si="22">P9-Q9</f>
        <v>240.7</v>
      </c>
      <c r="S9" s="17">
        <f t="shared" si="15"/>
        <v>1</v>
      </c>
      <c r="T9" s="19">
        <f t="shared" ref="T9" si="23">R9*S9</f>
        <v>240.7</v>
      </c>
      <c r="U9" s="17">
        <v>0.06</v>
      </c>
      <c r="V9" s="17">
        <v>0.98</v>
      </c>
      <c r="W9" s="25"/>
    </row>
    <row r="10" spans="1:23" ht="15.75" x14ac:dyDescent="0.25">
      <c r="A10" s="12">
        <v>4</v>
      </c>
      <c r="B10" s="22" t="s">
        <v>244</v>
      </c>
      <c r="C10" s="19" t="s">
        <v>160</v>
      </c>
      <c r="D10" s="19" t="s">
        <v>124</v>
      </c>
      <c r="E10" s="17">
        <f>E9+10.1</f>
        <v>44.4</v>
      </c>
      <c r="F10" s="17">
        <f t="shared" si="6"/>
        <v>34.299999999999997</v>
      </c>
      <c r="G10" s="19">
        <f t="shared" ref="G10" si="24">E10-F10</f>
        <v>10.100000000000001</v>
      </c>
      <c r="H10" s="17">
        <f t="shared" si="8"/>
        <v>1</v>
      </c>
      <c r="I10" s="19">
        <f t="shared" ref="I10" si="25">G10*H10</f>
        <v>10.100000000000001</v>
      </c>
      <c r="J10" s="17">
        <f>J9+205</f>
        <v>791.6</v>
      </c>
      <c r="K10" s="17">
        <f t="shared" si="10"/>
        <v>586.6</v>
      </c>
      <c r="L10" s="19">
        <f t="shared" ref="L10" si="26">J10-K10</f>
        <v>205</v>
      </c>
      <c r="M10" s="17">
        <f t="shared" si="12"/>
        <v>1</v>
      </c>
      <c r="N10" s="19">
        <f t="shared" ref="N10" si="27">L10*M10</f>
        <v>205</v>
      </c>
      <c r="O10" s="12">
        <f t="shared" si="21"/>
        <v>221.00000000000003</v>
      </c>
      <c r="P10" s="17">
        <f>P9+221</f>
        <v>461.7</v>
      </c>
      <c r="Q10" s="17">
        <f t="shared" ref="Q10:Q15" si="28">P9</f>
        <v>240.7</v>
      </c>
      <c r="R10" s="19">
        <f t="shared" ref="R10" si="29">P10-Q10</f>
        <v>221</v>
      </c>
      <c r="S10" s="17">
        <f t="shared" si="15"/>
        <v>1</v>
      </c>
      <c r="T10" s="19">
        <f t="shared" ref="T10" si="30">R10*S10</f>
        <v>221</v>
      </c>
      <c r="U10" s="17"/>
      <c r="V10" s="17"/>
      <c r="W10" s="25"/>
    </row>
    <row r="11" spans="1:23" ht="15.75" x14ac:dyDescent="0.25">
      <c r="A11" s="12">
        <v>5</v>
      </c>
      <c r="B11" s="22" t="s">
        <v>245</v>
      </c>
      <c r="C11" s="19" t="s">
        <v>160</v>
      </c>
      <c r="D11" s="19" t="s">
        <v>124</v>
      </c>
      <c r="E11" s="17">
        <v>55.4</v>
      </c>
      <c r="F11" s="17">
        <f t="shared" si="6"/>
        <v>44.4</v>
      </c>
      <c r="G11" s="19">
        <f t="shared" ref="G11" si="31">E11-F11</f>
        <v>11</v>
      </c>
      <c r="H11" s="17">
        <f t="shared" si="8"/>
        <v>1</v>
      </c>
      <c r="I11" s="19">
        <f t="shared" ref="I11" si="32">G11*H11</f>
        <v>11</v>
      </c>
      <c r="J11" s="17">
        <v>995.6</v>
      </c>
      <c r="K11" s="17">
        <f t="shared" si="10"/>
        <v>791.6</v>
      </c>
      <c r="L11" s="19">
        <f t="shared" ref="L11" si="33">J11-K11</f>
        <v>204</v>
      </c>
      <c r="M11" s="17">
        <f t="shared" si="12"/>
        <v>1</v>
      </c>
      <c r="N11" s="19">
        <f t="shared" ref="N11" si="34">L11*M11</f>
        <v>204</v>
      </c>
      <c r="O11" s="12">
        <f t="shared" si="21"/>
        <v>138.4</v>
      </c>
      <c r="P11" s="17">
        <v>680.7</v>
      </c>
      <c r="Q11" s="17">
        <f t="shared" si="28"/>
        <v>461.7</v>
      </c>
      <c r="R11" s="19">
        <f t="shared" ref="R11" si="35">P11-Q11</f>
        <v>219.00000000000006</v>
      </c>
      <c r="S11" s="17">
        <f t="shared" si="15"/>
        <v>1</v>
      </c>
      <c r="T11" s="19">
        <f t="shared" ref="T11" si="36">R11*S11</f>
        <v>219.00000000000006</v>
      </c>
      <c r="U11" s="17">
        <v>7.0000000000000007E-2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160</v>
      </c>
      <c r="D12" s="19" t="s">
        <v>124</v>
      </c>
      <c r="E12" s="12">
        <v>75.599999999999994</v>
      </c>
      <c r="F12" s="17">
        <f t="shared" si="6"/>
        <v>55.4</v>
      </c>
      <c r="G12" s="19">
        <f t="shared" ref="G12" si="37">E12-F12</f>
        <v>20.199999999999996</v>
      </c>
      <c r="H12" s="17">
        <f t="shared" si="8"/>
        <v>1</v>
      </c>
      <c r="I12" s="19">
        <f t="shared" ref="I12" si="38">G12*H12</f>
        <v>20.199999999999996</v>
      </c>
      <c r="J12" s="12">
        <v>1224.7</v>
      </c>
      <c r="K12" s="17">
        <f t="shared" si="10"/>
        <v>995.6</v>
      </c>
      <c r="L12" s="19">
        <f t="shared" ref="L12" si="39">J12-K12</f>
        <v>229.10000000000002</v>
      </c>
      <c r="M12" s="17">
        <f t="shared" si="12"/>
        <v>1</v>
      </c>
      <c r="N12" s="19">
        <f t="shared" ref="N12" si="40">L12*M12</f>
        <v>229.10000000000002</v>
      </c>
      <c r="O12" s="12">
        <f t="shared" si="21"/>
        <v>221.00000000000003</v>
      </c>
      <c r="P12" s="17">
        <v>940.6</v>
      </c>
      <c r="Q12" s="17">
        <f t="shared" si="28"/>
        <v>680.7</v>
      </c>
      <c r="R12" s="19">
        <f t="shared" ref="R12" si="41">P12-Q12</f>
        <v>259.89999999999998</v>
      </c>
      <c r="S12" s="17">
        <f t="shared" si="15"/>
        <v>1</v>
      </c>
      <c r="T12" s="19">
        <f t="shared" ref="T12" si="42">R12*S12</f>
        <v>259.89999999999998</v>
      </c>
      <c r="U12" s="19">
        <v>0.18</v>
      </c>
      <c r="V12" s="19">
        <v>0.96</v>
      </c>
      <c r="W12" s="25"/>
    </row>
    <row r="13" spans="1:23" ht="15.75" x14ac:dyDescent="0.25">
      <c r="A13" s="12">
        <v>7</v>
      </c>
      <c r="B13" s="22" t="s">
        <v>252</v>
      </c>
      <c r="C13" s="19" t="s">
        <v>160</v>
      </c>
      <c r="D13" s="19" t="s">
        <v>124</v>
      </c>
      <c r="E13" s="12">
        <v>89.9</v>
      </c>
      <c r="F13" s="17">
        <f t="shared" si="6"/>
        <v>75.599999999999994</v>
      </c>
      <c r="G13" s="19">
        <f t="shared" ref="G13" si="43">E13-F13</f>
        <v>14.300000000000011</v>
      </c>
      <c r="H13" s="17">
        <f t="shared" si="8"/>
        <v>1</v>
      </c>
      <c r="I13" s="19">
        <f t="shared" ref="I13" si="44">G13*H13</f>
        <v>14.300000000000011</v>
      </c>
      <c r="J13" s="12">
        <v>1540</v>
      </c>
      <c r="K13" s="17">
        <f t="shared" si="10"/>
        <v>1224.7</v>
      </c>
      <c r="L13" s="19">
        <f t="shared" ref="L13" si="45">J13-K13</f>
        <v>315.29999999999995</v>
      </c>
      <c r="M13" s="17">
        <f t="shared" si="12"/>
        <v>1</v>
      </c>
      <c r="N13" s="19">
        <f t="shared" ref="N13" si="46">L13*M13</f>
        <v>315.29999999999995</v>
      </c>
      <c r="O13" s="12">
        <f t="shared" si="21"/>
        <v>138.4</v>
      </c>
      <c r="P13" s="12">
        <v>1265</v>
      </c>
      <c r="Q13" s="17">
        <f t="shared" si="28"/>
        <v>940.6</v>
      </c>
      <c r="R13" s="19">
        <f t="shared" ref="R13" si="47">P13-Q13</f>
        <v>324.39999999999998</v>
      </c>
      <c r="S13" s="17">
        <f t="shared" si="15"/>
        <v>1</v>
      </c>
      <c r="T13" s="19">
        <f t="shared" ref="T13" si="48">R13*S13</f>
        <v>324.39999999999998</v>
      </c>
      <c r="U13" s="19">
        <v>0.13</v>
      </c>
      <c r="V13" s="19">
        <v>0.98</v>
      </c>
      <c r="W13" s="25"/>
    </row>
    <row r="14" spans="1:23" ht="15.75" x14ac:dyDescent="0.25">
      <c r="A14" s="12">
        <v>8</v>
      </c>
      <c r="B14" s="22" t="s">
        <v>253</v>
      </c>
      <c r="C14" s="19" t="s">
        <v>160</v>
      </c>
      <c r="D14" s="19" t="s">
        <v>124</v>
      </c>
      <c r="E14" s="12">
        <v>101.9</v>
      </c>
      <c r="F14" s="17">
        <f t="shared" ref="F14" si="49">E13</f>
        <v>89.9</v>
      </c>
      <c r="G14" s="19">
        <f t="shared" ref="G14" si="50">E14-F14</f>
        <v>12</v>
      </c>
      <c r="H14" s="17">
        <f t="shared" si="8"/>
        <v>1</v>
      </c>
      <c r="I14" s="19">
        <f t="shared" ref="I14" si="51">G14*H14</f>
        <v>12</v>
      </c>
      <c r="J14" s="12">
        <v>1833</v>
      </c>
      <c r="K14" s="17">
        <f t="shared" ref="K14" si="52">J13</f>
        <v>1540</v>
      </c>
      <c r="L14" s="19">
        <f t="shared" ref="L14" si="53">J14-K14</f>
        <v>293</v>
      </c>
      <c r="M14" s="17">
        <f t="shared" si="12"/>
        <v>1</v>
      </c>
      <c r="N14" s="19">
        <f t="shared" ref="N14" si="54">L14*M14</f>
        <v>293</v>
      </c>
      <c r="O14" s="12">
        <f t="shared" si="21"/>
        <v>221.00000000000003</v>
      </c>
      <c r="P14" s="12">
        <v>1559</v>
      </c>
      <c r="Q14" s="17">
        <f t="shared" si="28"/>
        <v>1265</v>
      </c>
      <c r="R14" s="19">
        <f t="shared" ref="R14" si="55">P14-Q14</f>
        <v>294</v>
      </c>
      <c r="S14" s="17">
        <f t="shared" si="15"/>
        <v>1</v>
      </c>
      <c r="T14" s="19">
        <f t="shared" ref="T14" si="56">R14*S14</f>
        <v>294</v>
      </c>
      <c r="U14" s="19">
        <v>0.11</v>
      </c>
      <c r="V14" s="90">
        <v>0.99</v>
      </c>
      <c r="W14" s="25"/>
    </row>
    <row r="15" spans="1:23" ht="15.75" x14ac:dyDescent="0.25">
      <c r="A15" s="12">
        <v>9</v>
      </c>
      <c r="B15" s="22" t="s">
        <v>254</v>
      </c>
      <c r="C15" s="19" t="s">
        <v>160</v>
      </c>
      <c r="D15" s="19" t="s">
        <v>124</v>
      </c>
      <c r="E15" s="12">
        <v>117.2</v>
      </c>
      <c r="F15" s="17">
        <f t="shared" ref="F15" si="57">E14</f>
        <v>101.9</v>
      </c>
      <c r="G15" s="19">
        <f t="shared" ref="G15" si="58">E15-F15</f>
        <v>15.299999999999997</v>
      </c>
      <c r="H15" s="17">
        <f t="shared" si="8"/>
        <v>1</v>
      </c>
      <c r="I15" s="19">
        <f t="shared" ref="I15" si="59">G15*H15</f>
        <v>15.299999999999997</v>
      </c>
      <c r="J15" s="12">
        <v>2066.8000000000002</v>
      </c>
      <c r="K15" s="17">
        <f t="shared" ref="K15" si="60">J14</f>
        <v>1833</v>
      </c>
      <c r="L15" s="19">
        <f t="shared" ref="L15" si="61">J15-K15</f>
        <v>233.80000000000018</v>
      </c>
      <c r="M15" s="17">
        <f t="shared" si="12"/>
        <v>1</v>
      </c>
      <c r="N15" s="19">
        <f t="shared" ref="N15" si="62">L15*M15</f>
        <v>233.80000000000018</v>
      </c>
      <c r="O15" s="12">
        <f t="shared" si="21"/>
        <v>138.4</v>
      </c>
      <c r="P15" s="12">
        <v>1810</v>
      </c>
      <c r="Q15" s="17">
        <f t="shared" si="28"/>
        <v>1559</v>
      </c>
      <c r="R15" s="19">
        <f t="shared" ref="R15" si="63">P15-Q15</f>
        <v>251</v>
      </c>
      <c r="S15" s="17">
        <f t="shared" si="15"/>
        <v>1</v>
      </c>
      <c r="T15" s="19">
        <f t="shared" ref="T15" si="64">R15*S15</f>
        <v>251</v>
      </c>
      <c r="U15" s="19">
        <v>0.08</v>
      </c>
      <c r="V15" s="90">
        <v>0.93</v>
      </c>
      <c r="W15" s="25"/>
    </row>
    <row r="16" spans="1:23" ht="15.75" x14ac:dyDescent="0.25">
      <c r="A16" s="12">
        <v>10</v>
      </c>
      <c r="B16" s="22" t="s">
        <v>258</v>
      </c>
      <c r="C16" s="19" t="s">
        <v>160</v>
      </c>
      <c r="D16" s="19" t="s">
        <v>124</v>
      </c>
      <c r="E16" s="12">
        <f>E15+13</f>
        <v>130.19999999999999</v>
      </c>
      <c r="F16" s="17">
        <f t="shared" ref="F16" si="65">E15</f>
        <v>117.2</v>
      </c>
      <c r="G16" s="19">
        <f t="shared" ref="G16" si="66">E16-F16</f>
        <v>12.999999999999986</v>
      </c>
      <c r="H16" s="17">
        <f t="shared" si="8"/>
        <v>1</v>
      </c>
      <c r="I16" s="19">
        <f t="shared" ref="I16" si="67">G16*H16</f>
        <v>12.999999999999986</v>
      </c>
      <c r="J16" s="12">
        <f>J15+260</f>
        <v>2326.8000000000002</v>
      </c>
      <c r="K16" s="17">
        <f t="shared" ref="K16" si="68">J15</f>
        <v>2066.8000000000002</v>
      </c>
      <c r="L16" s="19">
        <f t="shared" ref="L16" si="69">J16-K16</f>
        <v>260</v>
      </c>
      <c r="M16" s="17">
        <f t="shared" si="12"/>
        <v>1</v>
      </c>
      <c r="N16" s="19">
        <f t="shared" ref="N16" si="70">L16*M16</f>
        <v>260</v>
      </c>
      <c r="O16" s="12">
        <f t="shared" si="21"/>
        <v>221.00000000000003</v>
      </c>
      <c r="P16" s="12">
        <f>P15+273</f>
        <v>2083</v>
      </c>
      <c r="Q16" s="17">
        <f t="shared" ref="Q16" si="71">P15</f>
        <v>1810</v>
      </c>
      <c r="R16" s="19">
        <f t="shared" ref="R16" si="72">P16-Q16</f>
        <v>273</v>
      </c>
      <c r="S16" s="17">
        <f t="shared" si="15"/>
        <v>1</v>
      </c>
      <c r="T16" s="19">
        <f t="shared" ref="T16" si="73">R16*S16</f>
        <v>273</v>
      </c>
      <c r="U16" s="19"/>
      <c r="V16" s="90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22" t="s">
        <v>121</v>
      </c>
      <c r="I17" s="12">
        <f>SUM(I7:I16)</f>
        <v>129.29999999999998</v>
      </c>
      <c r="J17" s="12"/>
      <c r="K17" s="17"/>
      <c r="L17" s="12"/>
      <c r="M17" s="17"/>
      <c r="N17" s="12">
        <f t="shared" ref="N17:O17" si="74">SUM(N7:N16)</f>
        <v>2326.6000000000004</v>
      </c>
      <c r="O17" s="12">
        <f t="shared" si="74"/>
        <v>1797.0000000000002</v>
      </c>
      <c r="P17" s="12"/>
      <c r="Q17" s="17"/>
      <c r="R17" s="12"/>
      <c r="S17" s="17"/>
      <c r="T17" s="12">
        <f>SUM(T7:T16)</f>
        <v>2083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201</v>
      </c>
      <c r="D18" s="19" t="s">
        <v>124</v>
      </c>
      <c r="E18" s="12">
        <f>E16+12.6</f>
        <v>142.79999999999998</v>
      </c>
      <c r="F18" s="17">
        <f>E16</f>
        <v>130.19999999999999</v>
      </c>
      <c r="G18" s="19">
        <f t="shared" ref="G18:G20" si="75">E18-F18</f>
        <v>12.599999999999994</v>
      </c>
      <c r="H18" s="91">
        <v>1</v>
      </c>
      <c r="I18" s="19">
        <f t="shared" ref="I18:I20" si="76">G18*H18</f>
        <v>12.599999999999994</v>
      </c>
      <c r="J18" s="12">
        <f>J16+262</f>
        <v>2588.8000000000002</v>
      </c>
      <c r="K18" s="17">
        <f>J16</f>
        <v>2326.8000000000002</v>
      </c>
      <c r="L18" s="19">
        <f t="shared" ref="L18" si="77">J18-K18</f>
        <v>262</v>
      </c>
      <c r="M18" s="17">
        <f>M16</f>
        <v>1</v>
      </c>
      <c r="N18" s="19">
        <f t="shared" ref="N18" si="78">L18*M18</f>
        <v>262</v>
      </c>
      <c r="O18" s="17">
        <f t="shared" ref="O18" si="79">N18-I18</f>
        <v>249.4</v>
      </c>
      <c r="P18" s="12">
        <f>P16+275</f>
        <v>2358</v>
      </c>
      <c r="Q18" s="17">
        <f>P16</f>
        <v>2083</v>
      </c>
      <c r="R18" s="19">
        <f t="shared" ref="R18" si="80">P18-Q18</f>
        <v>275</v>
      </c>
      <c r="S18" s="17">
        <f>S16</f>
        <v>1</v>
      </c>
      <c r="T18" s="19">
        <f t="shared" ref="T18" si="81">R18*S18</f>
        <v>275</v>
      </c>
      <c r="U18" s="12"/>
      <c r="V18" s="12"/>
      <c r="W18" s="25"/>
    </row>
    <row r="19" spans="1:23" ht="15.75" x14ac:dyDescent="0.25">
      <c r="A19" s="12">
        <v>12</v>
      </c>
      <c r="B19" s="22" t="s">
        <v>263</v>
      </c>
      <c r="C19" s="19" t="s">
        <v>201</v>
      </c>
      <c r="D19" s="19" t="s">
        <v>124</v>
      </c>
      <c r="E19" s="12">
        <f>E18+13</f>
        <v>155.79999999999998</v>
      </c>
      <c r="F19" s="17">
        <f>E18</f>
        <v>142.79999999999998</v>
      </c>
      <c r="G19" s="19">
        <f t="shared" si="75"/>
        <v>13</v>
      </c>
      <c r="H19" s="17">
        <f>H18</f>
        <v>1</v>
      </c>
      <c r="I19" s="19">
        <f t="shared" si="76"/>
        <v>13</v>
      </c>
      <c r="J19" s="12">
        <f>J18+260</f>
        <v>2848.8</v>
      </c>
      <c r="K19" s="17">
        <f>J18</f>
        <v>2588.8000000000002</v>
      </c>
      <c r="L19" s="19">
        <f t="shared" ref="L19" si="82">J19-K19</f>
        <v>260</v>
      </c>
      <c r="M19" s="17">
        <f>M18</f>
        <v>1</v>
      </c>
      <c r="N19" s="19">
        <f t="shared" ref="N19" si="83">L19*M19</f>
        <v>260</v>
      </c>
      <c r="O19" s="17">
        <f t="shared" ref="O19" si="84">N19-I19</f>
        <v>247</v>
      </c>
      <c r="P19" s="12">
        <f>P18+273</f>
        <v>2631</v>
      </c>
      <c r="Q19" s="17">
        <f>P18</f>
        <v>2358</v>
      </c>
      <c r="R19" s="19">
        <f t="shared" ref="R19" si="85">P19-Q19</f>
        <v>273</v>
      </c>
      <c r="S19" s="17">
        <f>S18</f>
        <v>1</v>
      </c>
      <c r="T19" s="19">
        <f t="shared" ref="T19" si="86">R19*S19</f>
        <v>273</v>
      </c>
      <c r="U19" s="19"/>
      <c r="V19" s="19"/>
      <c r="W19" s="25"/>
    </row>
    <row r="20" spans="1:23" ht="15.75" x14ac:dyDescent="0.25">
      <c r="A20" s="12">
        <v>13</v>
      </c>
      <c r="B20" s="22" t="s">
        <v>265</v>
      </c>
      <c r="C20" s="19" t="s">
        <v>201</v>
      </c>
      <c r="D20" s="19" t="s">
        <v>124</v>
      </c>
      <c r="E20" s="12">
        <v>169.5</v>
      </c>
      <c r="F20" s="17">
        <f>E19</f>
        <v>155.79999999999998</v>
      </c>
      <c r="G20" s="19">
        <f t="shared" si="75"/>
        <v>13.700000000000017</v>
      </c>
      <c r="H20" s="91">
        <f>H19</f>
        <v>1</v>
      </c>
      <c r="I20" s="19">
        <f t="shared" si="76"/>
        <v>13.700000000000017</v>
      </c>
      <c r="J20" s="12">
        <v>3116.7</v>
      </c>
      <c r="K20" s="17">
        <f>J19</f>
        <v>2848.8</v>
      </c>
      <c r="L20" s="19">
        <f t="shared" ref="L20" si="87">J20-K20</f>
        <v>267.89999999999964</v>
      </c>
      <c r="M20" s="17">
        <f>M19</f>
        <v>1</v>
      </c>
      <c r="N20" s="19">
        <f t="shared" ref="N20" si="88">L20*M20</f>
        <v>267.89999999999964</v>
      </c>
      <c r="O20" s="17">
        <f t="shared" ref="O20" si="89">N20-I20</f>
        <v>254.19999999999962</v>
      </c>
      <c r="P20" s="12">
        <v>2913.6</v>
      </c>
      <c r="Q20" s="17">
        <f>P19</f>
        <v>2631</v>
      </c>
      <c r="R20" s="19">
        <f t="shared" ref="R20" si="90">P20-Q20</f>
        <v>282.59999999999991</v>
      </c>
      <c r="S20" s="17">
        <f>S19</f>
        <v>1</v>
      </c>
      <c r="T20" s="19">
        <f t="shared" ref="T20" si="91">R20*S20</f>
        <v>282.59999999999991</v>
      </c>
      <c r="U20" s="19">
        <v>0.1</v>
      </c>
      <c r="V20" s="19">
        <v>0.91</v>
      </c>
      <c r="W20" s="25"/>
    </row>
    <row r="21" spans="1:23" ht="15.75" x14ac:dyDescent="0.25">
      <c r="A21" s="12">
        <v>14</v>
      </c>
      <c r="B21" s="22" t="s">
        <v>266</v>
      </c>
      <c r="C21" s="19" t="s">
        <v>201</v>
      </c>
      <c r="D21" s="19" t="s">
        <v>124</v>
      </c>
      <c r="E21" s="12">
        <v>183.7</v>
      </c>
      <c r="F21" s="17">
        <f>E20</f>
        <v>169.5</v>
      </c>
      <c r="G21" s="19">
        <f t="shared" ref="G21" si="92">E21-F21</f>
        <v>14.199999999999989</v>
      </c>
      <c r="H21" s="91">
        <f>H20</f>
        <v>1</v>
      </c>
      <c r="I21" s="19">
        <f t="shared" ref="I21" si="93">G21*H21</f>
        <v>14.199999999999989</v>
      </c>
      <c r="J21" s="12">
        <v>3353</v>
      </c>
      <c r="K21" s="17">
        <f>J20</f>
        <v>3116.7</v>
      </c>
      <c r="L21" s="19">
        <f t="shared" ref="L21" si="94">J21-K21</f>
        <v>236.30000000000018</v>
      </c>
      <c r="M21" s="17">
        <f>M20</f>
        <v>1</v>
      </c>
      <c r="N21" s="19">
        <f t="shared" ref="N21" si="95">L21*M21</f>
        <v>236.30000000000018</v>
      </c>
      <c r="O21" s="17">
        <f t="shared" ref="O21:O22" si="96">N21-I21</f>
        <v>222.10000000000019</v>
      </c>
      <c r="P21" s="12">
        <v>3179.6</v>
      </c>
      <c r="Q21" s="17">
        <f>P20</f>
        <v>2913.6</v>
      </c>
      <c r="R21" s="19">
        <f t="shared" ref="R21" si="97">P21-Q21</f>
        <v>266</v>
      </c>
      <c r="S21" s="17">
        <f>S20</f>
        <v>1</v>
      </c>
      <c r="T21" s="19">
        <f t="shared" ref="T21" si="98">R21*S21</f>
        <v>266</v>
      </c>
      <c r="U21" s="19">
        <v>1.27</v>
      </c>
      <c r="V21" s="19"/>
      <c r="W21" s="25"/>
    </row>
    <row r="22" spans="1:23" ht="15.75" x14ac:dyDescent="0.25">
      <c r="A22" s="12">
        <v>15</v>
      </c>
      <c r="B22" s="22" t="s">
        <v>267</v>
      </c>
      <c r="C22" s="19" t="s">
        <v>201</v>
      </c>
      <c r="D22" s="19" t="s">
        <v>124</v>
      </c>
      <c r="E22" s="12">
        <v>185</v>
      </c>
      <c r="F22" s="17">
        <f>E21</f>
        <v>183.7</v>
      </c>
      <c r="G22" s="19">
        <f t="shared" ref="G22" si="99">E22-F22</f>
        <v>1.3000000000000114</v>
      </c>
      <c r="H22" s="91">
        <f>H21</f>
        <v>1</v>
      </c>
      <c r="I22" s="19">
        <f t="shared" ref="I22" si="100">G22*H22</f>
        <v>1.3000000000000114</v>
      </c>
      <c r="J22" s="12">
        <v>3423</v>
      </c>
      <c r="K22" s="17">
        <f>J21</f>
        <v>3353</v>
      </c>
      <c r="L22" s="19">
        <f t="shared" ref="L22" si="101">J22-K22</f>
        <v>70</v>
      </c>
      <c r="M22" s="17">
        <f>M21</f>
        <v>1</v>
      </c>
      <c r="N22" s="19">
        <f t="shared" ref="N22" si="102">L22*M22</f>
        <v>70</v>
      </c>
      <c r="O22" s="17">
        <f t="shared" si="96"/>
        <v>68.699999999999989</v>
      </c>
      <c r="P22" s="12">
        <f>P21+74</f>
        <v>3253.6</v>
      </c>
      <c r="Q22" s="17">
        <f>P21</f>
        <v>3179.6</v>
      </c>
      <c r="R22" s="19">
        <f t="shared" ref="R22" si="103">P22-Q22</f>
        <v>74</v>
      </c>
      <c r="S22" s="17">
        <f>S21</f>
        <v>1</v>
      </c>
      <c r="T22" s="19">
        <f t="shared" ref="T22" si="104">R22*S22</f>
        <v>74</v>
      </c>
      <c r="U22" s="19"/>
      <c r="V22" s="19"/>
      <c r="W22" s="25"/>
    </row>
    <row r="23" spans="1:23" ht="32.25" customHeight="1" x14ac:dyDescent="0.25">
      <c r="A23" s="12">
        <v>16</v>
      </c>
      <c r="B23" s="22" t="s">
        <v>268</v>
      </c>
      <c r="C23" s="19" t="s">
        <v>201</v>
      </c>
      <c r="D23" s="19" t="s">
        <v>124</v>
      </c>
      <c r="E23" s="12">
        <v>185</v>
      </c>
      <c r="F23" s="17">
        <f>E22</f>
        <v>185</v>
      </c>
      <c r="G23" s="19">
        <f t="shared" ref="G23" si="105">E23-F23</f>
        <v>0</v>
      </c>
      <c r="H23" s="91">
        <f>H22</f>
        <v>1</v>
      </c>
      <c r="I23" s="19">
        <f t="shared" ref="I23" si="106">G23*H23</f>
        <v>0</v>
      </c>
      <c r="J23" s="12">
        <v>3423</v>
      </c>
      <c r="K23" s="17">
        <f>J22</f>
        <v>3423</v>
      </c>
      <c r="L23" s="19">
        <f t="shared" ref="L23" si="107">J23-K23</f>
        <v>0</v>
      </c>
      <c r="M23" s="17">
        <f>M22</f>
        <v>1</v>
      </c>
      <c r="N23" s="19">
        <f t="shared" ref="N23" si="108">L23*M23</f>
        <v>0</v>
      </c>
      <c r="O23" s="17">
        <f t="shared" ref="O23" si="109">N23-I23</f>
        <v>0</v>
      </c>
      <c r="P23" s="12">
        <v>3253.6</v>
      </c>
      <c r="Q23" s="17">
        <f>P22</f>
        <v>3253.6</v>
      </c>
      <c r="R23" s="19">
        <f t="shared" ref="R23" si="110">P23-Q23</f>
        <v>0</v>
      </c>
      <c r="S23" s="17">
        <f>S22</f>
        <v>1</v>
      </c>
      <c r="T23" s="19">
        <f t="shared" ref="T23" si="111">R23*S23</f>
        <v>0</v>
      </c>
      <c r="U23" s="217" t="s">
        <v>273</v>
      </c>
      <c r="V23" s="218"/>
      <c r="W23" s="25"/>
    </row>
    <row r="24" spans="1:23" ht="15.75" x14ac:dyDescent="0.25">
      <c r="A24" s="12">
        <v>17</v>
      </c>
      <c r="B24" s="22" t="s">
        <v>272</v>
      </c>
      <c r="C24" s="19" t="s">
        <v>201</v>
      </c>
      <c r="D24" s="19" t="s">
        <v>124</v>
      </c>
      <c r="E24" s="12" t="s">
        <v>275</v>
      </c>
      <c r="F24" s="17"/>
      <c r="G24" s="19"/>
      <c r="H24" s="91"/>
      <c r="I24" s="19"/>
      <c r="J24" s="12"/>
      <c r="K24" s="17"/>
      <c r="L24" s="19"/>
      <c r="M24" s="17"/>
      <c r="N24" s="19"/>
      <c r="O24" s="17"/>
      <c r="P24" s="12"/>
      <c r="Q24" s="17"/>
      <c r="R24" s="19"/>
      <c r="S24" s="17"/>
      <c r="T24" s="19"/>
      <c r="U24" s="219"/>
      <c r="V24" s="220"/>
      <c r="W24" s="25"/>
    </row>
    <row r="25" spans="1:23" ht="15.75" x14ac:dyDescent="0.25">
      <c r="A25" s="12">
        <v>18</v>
      </c>
      <c r="B25" s="22" t="s">
        <v>274</v>
      </c>
      <c r="C25" s="19" t="s">
        <v>201</v>
      </c>
      <c r="D25" s="19" t="s">
        <v>124</v>
      </c>
      <c r="E25" s="12" t="s">
        <v>275</v>
      </c>
      <c r="F25" s="17"/>
      <c r="G25" s="19"/>
      <c r="H25" s="17"/>
      <c r="I25" s="19"/>
      <c r="J25" s="12"/>
      <c r="K25" s="17"/>
      <c r="L25" s="19"/>
      <c r="M25" s="17"/>
      <c r="N25" s="19"/>
      <c r="O25" s="17"/>
      <c r="P25" s="12"/>
      <c r="Q25" s="17"/>
      <c r="R25" s="19"/>
      <c r="S25" s="17"/>
      <c r="T25" s="19"/>
      <c r="U25" s="219"/>
      <c r="V25" s="220"/>
      <c r="W25" s="25"/>
    </row>
    <row r="26" spans="1:23" ht="15.75" x14ac:dyDescent="0.25">
      <c r="A26" s="12">
        <v>19</v>
      </c>
      <c r="B26" s="22" t="s">
        <v>276</v>
      </c>
      <c r="C26" s="19" t="s">
        <v>201</v>
      </c>
      <c r="D26" s="19" t="s">
        <v>124</v>
      </c>
      <c r="E26" s="12" t="s">
        <v>275</v>
      </c>
      <c r="F26" s="17"/>
      <c r="G26" s="19"/>
      <c r="H26" s="17"/>
      <c r="I26" s="19"/>
      <c r="J26" s="12"/>
      <c r="K26" s="17"/>
      <c r="L26" s="19"/>
      <c r="M26" s="17"/>
      <c r="N26" s="19"/>
      <c r="O26" s="17"/>
      <c r="P26" s="12"/>
      <c r="Q26" s="17"/>
      <c r="R26" s="19"/>
      <c r="S26" s="17"/>
      <c r="T26" s="19"/>
      <c r="U26" s="221"/>
      <c r="V26" s="222"/>
      <c r="W26" s="25"/>
    </row>
    <row r="27" spans="1:23" ht="15.75" x14ac:dyDescent="0.25">
      <c r="A27" s="12">
        <v>20</v>
      </c>
      <c r="B27" s="22" t="s">
        <v>262</v>
      </c>
      <c r="C27" s="19" t="s">
        <v>201</v>
      </c>
      <c r="D27" s="19" t="s">
        <v>124</v>
      </c>
      <c r="E27" s="12" t="s">
        <v>275</v>
      </c>
      <c r="F27" s="17"/>
      <c r="G27" s="19"/>
      <c r="H27" s="17"/>
      <c r="I27" s="19"/>
      <c r="J27" s="12"/>
      <c r="K27" s="17"/>
      <c r="L27" s="19"/>
      <c r="M27" s="17"/>
      <c r="N27" s="19"/>
      <c r="O27" s="17"/>
      <c r="P27" s="12"/>
      <c r="Q27" s="17"/>
      <c r="R27" s="19"/>
      <c r="S27" s="17"/>
      <c r="T27" s="19"/>
      <c r="U27" s="19"/>
      <c r="V27" s="19"/>
      <c r="W27" s="25"/>
    </row>
    <row r="28" spans="1:23" ht="15.75" x14ac:dyDescent="0.25">
      <c r="A28" s="12">
        <v>21</v>
      </c>
      <c r="B28" s="22" t="s">
        <v>277</v>
      </c>
      <c r="C28" s="19" t="s">
        <v>201</v>
      </c>
      <c r="D28" s="19" t="s">
        <v>124</v>
      </c>
      <c r="E28" s="12" t="s">
        <v>275</v>
      </c>
      <c r="F28" s="17"/>
      <c r="G28" s="19"/>
      <c r="H28" s="17"/>
      <c r="I28" s="19"/>
      <c r="J28" s="12"/>
      <c r="K28" s="17"/>
      <c r="L28" s="19"/>
      <c r="M28" s="17"/>
      <c r="N28" s="19"/>
      <c r="O28" s="17"/>
      <c r="P28" s="12"/>
      <c r="Q28" s="17"/>
      <c r="R28" s="19"/>
      <c r="S28" s="17"/>
      <c r="T28" s="19"/>
      <c r="U28" s="19"/>
      <c r="V28" s="19"/>
      <c r="W28" s="25"/>
    </row>
    <row r="29" spans="1:23" ht="15.75" x14ac:dyDescent="0.25">
      <c r="A29" s="12">
        <v>22</v>
      </c>
      <c r="B29" s="22" t="s">
        <v>278</v>
      </c>
      <c r="C29" s="19" t="s">
        <v>201</v>
      </c>
      <c r="D29" s="19" t="s">
        <v>124</v>
      </c>
      <c r="E29" s="12" t="s">
        <v>275</v>
      </c>
      <c r="F29" s="17"/>
      <c r="G29" s="19"/>
      <c r="H29" s="17"/>
      <c r="I29" s="19"/>
      <c r="J29" s="12"/>
      <c r="K29" s="17"/>
      <c r="L29" s="19"/>
      <c r="M29" s="17"/>
      <c r="N29" s="19"/>
      <c r="O29" s="17"/>
      <c r="P29" s="12"/>
      <c r="Q29" s="17"/>
      <c r="R29" s="19"/>
      <c r="S29" s="17"/>
      <c r="T29" s="19"/>
      <c r="U29" s="19"/>
      <c r="V29" s="19"/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162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201</v>
      </c>
      <c r="D31" s="19" t="s">
        <v>124</v>
      </c>
      <c r="E31" s="12" t="s">
        <v>275</v>
      </c>
      <c r="F31" s="17"/>
      <c r="G31" s="19"/>
      <c r="H31" s="17"/>
      <c r="I31" s="19"/>
      <c r="J31" s="12"/>
      <c r="K31" s="17"/>
      <c r="L31" s="19"/>
      <c r="M31" s="17"/>
      <c r="N31" s="19"/>
      <c r="O31" s="17"/>
      <c r="P31" s="12"/>
      <c r="Q31" s="17"/>
      <c r="R31" s="19"/>
      <c r="S31" s="17"/>
      <c r="T31" s="19"/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201</v>
      </c>
      <c r="D32" s="19" t="s">
        <v>124</v>
      </c>
      <c r="E32" s="12" t="s">
        <v>275</v>
      </c>
      <c r="F32" s="17"/>
      <c r="G32" s="19"/>
      <c r="H32" s="17"/>
      <c r="I32" s="19"/>
      <c r="J32" s="12"/>
      <c r="K32" s="17"/>
      <c r="L32" s="19"/>
      <c r="M32" s="17"/>
      <c r="N32" s="19"/>
      <c r="O32" s="17"/>
      <c r="P32" s="12"/>
      <c r="Q32" s="17"/>
      <c r="R32" s="19"/>
      <c r="S32" s="17"/>
      <c r="T32" s="19"/>
      <c r="U32" s="19"/>
      <c r="V32" s="19"/>
      <c r="W32" s="25"/>
    </row>
    <row r="33" spans="1:23" ht="15.75" x14ac:dyDescent="0.25">
      <c r="A33" s="12">
        <v>25</v>
      </c>
      <c r="B33" s="22" t="s">
        <v>281</v>
      </c>
      <c r="C33" s="19" t="s">
        <v>201</v>
      </c>
      <c r="D33" s="19" t="s">
        <v>124</v>
      </c>
      <c r="E33" s="12" t="s">
        <v>275</v>
      </c>
      <c r="F33" s="17"/>
      <c r="G33" s="19"/>
      <c r="H33" s="17"/>
      <c r="I33" s="19"/>
      <c r="J33" s="12"/>
      <c r="K33" s="17"/>
      <c r="L33" s="19"/>
      <c r="M33" s="17"/>
      <c r="N33" s="19"/>
      <c r="O33" s="17"/>
      <c r="P33" s="12"/>
      <c r="Q33" s="17"/>
      <c r="R33" s="19"/>
      <c r="S33" s="17"/>
      <c r="T33" s="19"/>
      <c r="U33" s="19"/>
      <c r="V33" s="19"/>
      <c r="W33" s="25"/>
    </row>
    <row r="34" spans="1:23" ht="15.75" x14ac:dyDescent="0.25">
      <c r="A34" s="12">
        <v>26</v>
      </c>
      <c r="B34" s="22" t="s">
        <v>282</v>
      </c>
      <c r="C34" s="19" t="s">
        <v>201</v>
      </c>
      <c r="D34" s="19" t="s">
        <v>124</v>
      </c>
      <c r="E34" s="12" t="s">
        <v>275</v>
      </c>
      <c r="F34" s="17"/>
      <c r="G34" s="19"/>
      <c r="H34" s="17"/>
      <c r="I34" s="19"/>
      <c r="J34" s="12"/>
      <c r="K34" s="17"/>
      <c r="L34" s="19"/>
      <c r="M34" s="17"/>
      <c r="N34" s="19"/>
      <c r="O34" s="17"/>
      <c r="P34" s="12"/>
      <c r="Q34" s="17"/>
      <c r="R34" s="19"/>
      <c r="S34" s="17"/>
      <c r="T34" s="19"/>
      <c r="U34" s="19"/>
      <c r="V34" s="19"/>
      <c r="W34" s="25"/>
    </row>
    <row r="35" spans="1:23" ht="15.75" x14ac:dyDescent="0.25">
      <c r="A35" s="12">
        <v>27</v>
      </c>
      <c r="B35" s="22" t="s">
        <v>283</v>
      </c>
      <c r="C35" s="19" t="s">
        <v>201</v>
      </c>
      <c r="D35" s="19" t="s">
        <v>124</v>
      </c>
      <c r="E35" s="12" t="s">
        <v>275</v>
      </c>
      <c r="F35" s="17"/>
      <c r="G35" s="19"/>
      <c r="H35" s="17"/>
      <c r="I35" s="19"/>
      <c r="J35" s="12"/>
      <c r="K35" s="17"/>
      <c r="L35" s="19"/>
      <c r="M35" s="17"/>
      <c r="N35" s="19"/>
      <c r="O35" s="17"/>
      <c r="P35" s="12"/>
      <c r="Q35" s="17"/>
      <c r="R35" s="19"/>
      <c r="S35" s="17"/>
      <c r="T35" s="19"/>
      <c r="U35" s="19"/>
      <c r="V35" s="19"/>
      <c r="W35" s="25"/>
    </row>
    <row r="36" spans="1:23" ht="15.75" x14ac:dyDescent="0.25">
      <c r="A36" s="12">
        <v>28</v>
      </c>
      <c r="B36" s="22" t="s">
        <v>284</v>
      </c>
      <c r="C36" s="19" t="s">
        <v>201</v>
      </c>
      <c r="D36" s="19" t="s">
        <v>124</v>
      </c>
      <c r="E36" s="12" t="s">
        <v>275</v>
      </c>
      <c r="F36" s="17"/>
      <c r="G36" s="19"/>
      <c r="H36" s="17"/>
      <c r="I36" s="19"/>
      <c r="J36" s="12"/>
      <c r="K36" s="17"/>
      <c r="L36" s="19"/>
      <c r="M36" s="17"/>
      <c r="N36" s="19"/>
      <c r="O36" s="17"/>
      <c r="P36" s="12"/>
      <c r="Q36" s="17"/>
      <c r="R36" s="19"/>
      <c r="S36" s="17"/>
      <c r="T36" s="19"/>
      <c r="U36" s="19"/>
      <c r="V36" s="19"/>
      <c r="W36" s="25"/>
    </row>
    <row r="37" spans="1:23" ht="15.75" x14ac:dyDescent="0.25">
      <c r="A37" s="12">
        <v>29</v>
      </c>
      <c r="B37" s="22" t="s">
        <v>286</v>
      </c>
      <c r="C37" s="19" t="s">
        <v>201</v>
      </c>
      <c r="D37" s="19" t="s">
        <v>124</v>
      </c>
      <c r="E37" s="12" t="s">
        <v>287</v>
      </c>
      <c r="F37" s="17"/>
      <c r="G37" s="19"/>
      <c r="H37" s="17"/>
      <c r="I37" s="19"/>
      <c r="J37" s="12"/>
      <c r="K37" s="17"/>
      <c r="L37" s="19"/>
      <c r="M37" s="17"/>
      <c r="N37" s="19"/>
      <c r="O37" s="17"/>
      <c r="P37" s="12"/>
      <c r="Q37" s="17"/>
      <c r="R37" s="19"/>
      <c r="S37" s="17"/>
      <c r="T37" s="19"/>
      <c r="U37" s="19"/>
      <c r="V37" s="19"/>
      <c r="W37" s="25"/>
    </row>
    <row r="38" spans="1:23" ht="15.75" x14ac:dyDescent="0.25">
      <c r="A38" s="12">
        <v>30</v>
      </c>
      <c r="B38" s="22" t="s">
        <v>288</v>
      </c>
      <c r="C38" s="19" t="s">
        <v>201</v>
      </c>
      <c r="D38" s="19" t="s">
        <v>124</v>
      </c>
      <c r="E38" s="12" t="s">
        <v>287</v>
      </c>
      <c r="F38" s="17"/>
      <c r="G38" s="19"/>
      <c r="H38" s="17"/>
      <c r="I38" s="19"/>
      <c r="J38" s="12"/>
      <c r="K38" s="17"/>
      <c r="L38" s="19"/>
      <c r="M38" s="17"/>
      <c r="N38" s="19"/>
      <c r="O38" s="17"/>
      <c r="P38" s="12"/>
      <c r="Q38" s="17"/>
      <c r="R38" s="19"/>
      <c r="S38" s="17"/>
      <c r="T38" s="19"/>
      <c r="U38" s="19"/>
      <c r="V38" s="19"/>
      <c r="W38" s="25"/>
    </row>
    <row r="39" spans="1:23" ht="15.75" x14ac:dyDescent="0.25">
      <c r="A39" s="12">
        <v>31</v>
      </c>
      <c r="B39" s="22" t="s">
        <v>289</v>
      </c>
      <c r="C39" s="19" t="s">
        <v>201</v>
      </c>
      <c r="D39" s="19" t="s">
        <v>124</v>
      </c>
      <c r="E39" s="12">
        <v>352.1</v>
      </c>
      <c r="F39" s="17">
        <f>E23</f>
        <v>185</v>
      </c>
      <c r="G39" s="19">
        <f t="shared" ref="G39" si="112">E39-F39</f>
        <v>167.10000000000002</v>
      </c>
      <c r="H39" s="91">
        <v>1</v>
      </c>
      <c r="I39" s="19">
        <f t="shared" ref="I39" si="113">G39*H39</f>
        <v>167.10000000000002</v>
      </c>
      <c r="J39" s="12"/>
      <c r="K39" s="17"/>
      <c r="L39" s="19"/>
      <c r="M39" s="17"/>
      <c r="N39" s="19"/>
      <c r="O39" s="17"/>
      <c r="P39" s="12"/>
      <c r="Q39" s="17"/>
      <c r="R39" s="19"/>
      <c r="S39" s="17"/>
      <c r="T39" s="19"/>
      <c r="U39" s="19">
        <v>0.92</v>
      </c>
      <c r="V39" s="19">
        <v>0.9</v>
      </c>
      <c r="W39" s="25"/>
    </row>
    <row r="40" spans="1:23" ht="15.75" x14ac:dyDescent="0.25">
      <c r="A40" s="12">
        <v>32</v>
      </c>
      <c r="B40" s="22" t="s">
        <v>290</v>
      </c>
      <c r="C40" s="19" t="s">
        <v>201</v>
      </c>
      <c r="D40" s="19" t="s">
        <v>124</v>
      </c>
      <c r="E40" s="12">
        <v>379.1</v>
      </c>
      <c r="F40" s="17">
        <f>E39</f>
        <v>352.1</v>
      </c>
      <c r="G40" s="19">
        <f t="shared" ref="G40" si="114">E40-F40</f>
        <v>27</v>
      </c>
      <c r="H40" s="91">
        <v>1</v>
      </c>
      <c r="I40" s="19">
        <f t="shared" ref="I40" si="115">G40*H40</f>
        <v>27</v>
      </c>
      <c r="J40" s="12"/>
      <c r="K40" s="17"/>
      <c r="L40" s="19"/>
      <c r="M40" s="17"/>
      <c r="N40" s="19"/>
      <c r="O40" s="17"/>
      <c r="P40" s="12"/>
      <c r="Q40" s="17"/>
      <c r="R40" s="19"/>
      <c r="S40" s="17"/>
      <c r="T40" s="19"/>
      <c r="U40" s="19">
        <v>1.8</v>
      </c>
      <c r="V40" s="19">
        <v>0.9</v>
      </c>
      <c r="W40" s="25"/>
    </row>
    <row r="41" spans="1:23" ht="15.75" x14ac:dyDescent="0.25">
      <c r="A41" s="12">
        <v>33</v>
      </c>
      <c r="B41" s="22" t="s">
        <v>291</v>
      </c>
      <c r="C41" s="19" t="s">
        <v>201</v>
      </c>
      <c r="D41" s="19" t="s">
        <v>124</v>
      </c>
      <c r="E41" s="12">
        <v>392.5</v>
      </c>
      <c r="F41" s="17">
        <f t="shared" ref="F41:F48" si="116">E40</f>
        <v>379.1</v>
      </c>
      <c r="G41" s="19">
        <f t="shared" ref="G41:G48" si="117">E41-F41</f>
        <v>13.399999999999977</v>
      </c>
      <c r="H41" s="91">
        <v>1</v>
      </c>
      <c r="I41" s="19">
        <f t="shared" ref="I41:I48" si="118">G41*H41</f>
        <v>13.399999999999977</v>
      </c>
      <c r="J41" s="12"/>
      <c r="K41" s="17"/>
      <c r="L41" s="19"/>
      <c r="M41" s="17"/>
      <c r="N41" s="19"/>
      <c r="O41" s="17"/>
      <c r="P41" s="12"/>
      <c r="Q41" s="17"/>
      <c r="R41" s="19"/>
      <c r="S41" s="17"/>
      <c r="T41" s="19"/>
      <c r="U41" s="19">
        <v>0.66</v>
      </c>
      <c r="V41" s="19">
        <v>0.9</v>
      </c>
      <c r="W41" s="25"/>
    </row>
    <row r="42" spans="1:23" ht="15.75" x14ac:dyDescent="0.25">
      <c r="A42" s="12">
        <v>34</v>
      </c>
      <c r="B42" s="22" t="s">
        <v>292</v>
      </c>
      <c r="C42" s="19" t="s">
        <v>201</v>
      </c>
      <c r="D42" s="19" t="s">
        <v>124</v>
      </c>
      <c r="E42" s="12">
        <v>418.7</v>
      </c>
      <c r="F42" s="17">
        <f t="shared" si="116"/>
        <v>392.5</v>
      </c>
      <c r="G42" s="19">
        <f t="shared" si="117"/>
        <v>26.199999999999989</v>
      </c>
      <c r="H42" s="91">
        <v>1</v>
      </c>
      <c r="I42" s="19">
        <f t="shared" si="118"/>
        <v>26.199999999999989</v>
      </c>
      <c r="J42" s="12"/>
      <c r="K42" s="17"/>
      <c r="L42" s="19"/>
      <c r="M42" s="17"/>
      <c r="N42" s="19"/>
      <c r="O42" s="17"/>
      <c r="P42" s="12"/>
      <c r="Q42" s="17"/>
      <c r="R42" s="19"/>
      <c r="S42" s="17"/>
      <c r="T42" s="19"/>
      <c r="U42" s="19">
        <v>0.85</v>
      </c>
      <c r="V42" s="19">
        <v>0.85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201</v>
      </c>
      <c r="D44" s="19" t="s">
        <v>124</v>
      </c>
      <c r="E44" s="12">
        <v>421</v>
      </c>
      <c r="F44" s="17">
        <f>E42</f>
        <v>418.7</v>
      </c>
      <c r="G44" s="19">
        <f t="shared" si="117"/>
        <v>2.3000000000000114</v>
      </c>
      <c r="H44" s="91">
        <v>1</v>
      </c>
      <c r="I44" s="19">
        <f t="shared" si="118"/>
        <v>2.3000000000000114</v>
      </c>
      <c r="J44" s="12"/>
      <c r="K44" s="17"/>
      <c r="L44" s="19"/>
      <c r="M44" s="17"/>
      <c r="N44" s="19"/>
      <c r="O44" s="17"/>
      <c r="P44" s="12"/>
      <c r="Q44" s="17"/>
      <c r="R44" s="19"/>
      <c r="S44" s="17"/>
      <c r="T44" s="19"/>
      <c r="U44" s="19">
        <v>0.85</v>
      </c>
      <c r="V44" s="19">
        <v>0.85</v>
      </c>
      <c r="W44" s="25"/>
    </row>
    <row r="45" spans="1:23" ht="15.75" x14ac:dyDescent="0.25">
      <c r="A45" s="12">
        <v>36</v>
      </c>
      <c r="B45" s="22" t="s">
        <v>294</v>
      </c>
      <c r="C45" s="19" t="s">
        <v>201</v>
      </c>
      <c r="D45" s="19" t="s">
        <v>124</v>
      </c>
      <c r="E45" s="12">
        <v>446.7</v>
      </c>
      <c r="F45" s="17">
        <f t="shared" si="116"/>
        <v>421</v>
      </c>
      <c r="G45" s="19">
        <f t="shared" si="117"/>
        <v>25.699999999999989</v>
      </c>
      <c r="H45" s="91">
        <v>1</v>
      </c>
      <c r="I45" s="19">
        <f t="shared" si="118"/>
        <v>25.699999999999989</v>
      </c>
      <c r="J45" s="12"/>
      <c r="K45" s="17"/>
      <c r="L45" s="19"/>
      <c r="M45" s="17"/>
      <c r="N45" s="19"/>
      <c r="O45" s="17"/>
      <c r="P45" s="12"/>
      <c r="Q45" s="17"/>
      <c r="R45" s="19"/>
      <c r="S45" s="17"/>
      <c r="T45" s="19"/>
      <c r="U45" s="19">
        <v>2</v>
      </c>
      <c r="V45" s="19">
        <v>0.9</v>
      </c>
      <c r="W45" s="25"/>
    </row>
    <row r="46" spans="1:23" ht="15.75" x14ac:dyDescent="0.25">
      <c r="A46" s="12">
        <v>37</v>
      </c>
      <c r="B46" s="22" t="s">
        <v>295</v>
      </c>
      <c r="C46" s="19" t="s">
        <v>201</v>
      </c>
      <c r="D46" s="19" t="s">
        <v>124</v>
      </c>
      <c r="E46" s="12">
        <v>470.2</v>
      </c>
      <c r="F46" s="17">
        <f t="shared" si="116"/>
        <v>446.7</v>
      </c>
      <c r="G46" s="19">
        <f t="shared" si="117"/>
        <v>23.5</v>
      </c>
      <c r="H46" s="91">
        <v>1</v>
      </c>
      <c r="I46" s="19">
        <f t="shared" si="118"/>
        <v>23.5</v>
      </c>
      <c r="J46" s="12"/>
      <c r="K46" s="17"/>
      <c r="L46" s="19"/>
      <c r="M46" s="17"/>
      <c r="N46" s="19"/>
      <c r="O46" s="17"/>
      <c r="P46" s="12"/>
      <c r="Q46" s="17"/>
      <c r="R46" s="19"/>
      <c r="S46" s="17"/>
      <c r="T46" s="19"/>
      <c r="U46" s="19"/>
      <c r="V46" s="19"/>
      <c r="W46" s="25"/>
    </row>
    <row r="47" spans="1:23" ht="15.75" x14ac:dyDescent="0.25">
      <c r="A47" s="12">
        <v>38</v>
      </c>
      <c r="B47" s="22" t="s">
        <v>296</v>
      </c>
      <c r="C47" s="19" t="s">
        <v>201</v>
      </c>
      <c r="D47" s="19" t="s">
        <v>124</v>
      </c>
      <c r="E47" s="12">
        <v>492.7</v>
      </c>
      <c r="F47" s="17">
        <f t="shared" si="116"/>
        <v>470.2</v>
      </c>
      <c r="G47" s="19">
        <f t="shared" si="117"/>
        <v>22.5</v>
      </c>
      <c r="H47" s="91">
        <v>1</v>
      </c>
      <c r="I47" s="19">
        <f t="shared" si="118"/>
        <v>22.5</v>
      </c>
      <c r="J47" s="12"/>
      <c r="K47" s="17"/>
      <c r="L47" s="19"/>
      <c r="M47" s="17"/>
      <c r="N47" s="19"/>
      <c r="O47" s="17"/>
      <c r="P47" s="12"/>
      <c r="Q47" s="17"/>
      <c r="R47" s="19"/>
      <c r="S47" s="17"/>
      <c r="T47" s="19"/>
      <c r="U47" s="19">
        <v>1.01</v>
      </c>
      <c r="V47" s="19">
        <v>0.9</v>
      </c>
      <c r="W47" s="25"/>
    </row>
    <row r="48" spans="1:23" ht="15.75" x14ac:dyDescent="0.25">
      <c r="A48" s="12">
        <v>39</v>
      </c>
      <c r="B48" s="22" t="s">
        <v>297</v>
      </c>
      <c r="C48" s="19" t="s">
        <v>201</v>
      </c>
      <c r="D48" s="19" t="s">
        <v>124</v>
      </c>
      <c r="E48" s="12">
        <v>519.79999999999995</v>
      </c>
      <c r="F48" s="17">
        <f t="shared" si="116"/>
        <v>492.7</v>
      </c>
      <c r="G48" s="19">
        <f t="shared" si="117"/>
        <v>27.099999999999966</v>
      </c>
      <c r="H48" s="91">
        <v>1</v>
      </c>
      <c r="I48" s="19">
        <f t="shared" si="118"/>
        <v>27.099999999999966</v>
      </c>
      <c r="J48" s="12"/>
      <c r="K48" s="17"/>
      <c r="L48" s="19"/>
      <c r="M48" s="17"/>
      <c r="N48" s="19"/>
      <c r="O48" s="17"/>
      <c r="P48" s="12"/>
      <c r="Q48" s="17"/>
      <c r="R48" s="19"/>
      <c r="S48" s="17"/>
      <c r="T48" s="19"/>
      <c r="U48" s="19">
        <v>1.3</v>
      </c>
      <c r="V48" s="19"/>
      <c r="W48" s="25"/>
    </row>
    <row r="49" spans="1:23" ht="15.75" x14ac:dyDescent="0.25">
      <c r="A49" s="12">
        <v>40</v>
      </c>
      <c r="B49" s="22" t="s">
        <v>298</v>
      </c>
      <c r="C49" s="19" t="s">
        <v>201</v>
      </c>
      <c r="D49" s="19" t="s">
        <v>124</v>
      </c>
      <c r="E49" s="12">
        <v>543.79999999999995</v>
      </c>
      <c r="F49" s="17">
        <f t="shared" ref="F49" si="119">E48</f>
        <v>519.79999999999995</v>
      </c>
      <c r="G49" s="19">
        <f t="shared" ref="G49" si="120">E49-F49</f>
        <v>24</v>
      </c>
      <c r="H49" s="91">
        <v>1</v>
      </c>
      <c r="I49" s="19">
        <f t="shared" ref="I49" si="121">G49*H49</f>
        <v>24</v>
      </c>
      <c r="J49" s="12"/>
      <c r="K49" s="17"/>
      <c r="L49" s="19"/>
      <c r="M49" s="17"/>
      <c r="N49" s="19"/>
      <c r="O49" s="17"/>
      <c r="P49" s="12"/>
      <c r="Q49" s="17"/>
      <c r="R49" s="19"/>
      <c r="S49" s="17"/>
      <c r="T49" s="19"/>
      <c r="U49" s="19">
        <v>1</v>
      </c>
      <c r="V49" s="19">
        <v>0.9</v>
      </c>
      <c r="W49" s="25"/>
    </row>
    <row r="50" spans="1:23" ht="15.75" x14ac:dyDescent="0.25">
      <c r="A50" s="12">
        <v>41</v>
      </c>
      <c r="B50" s="22" t="s">
        <v>299</v>
      </c>
      <c r="C50" s="19" t="s">
        <v>201</v>
      </c>
      <c r="D50" s="19" t="s">
        <v>124</v>
      </c>
      <c r="E50" s="12">
        <v>547.9</v>
      </c>
      <c r="F50" s="17">
        <f t="shared" ref="F50" si="122">E49</f>
        <v>543.79999999999995</v>
      </c>
      <c r="G50" s="19">
        <f t="shared" ref="G50" si="123">E50-F50</f>
        <v>4.1000000000000227</v>
      </c>
      <c r="H50" s="91">
        <v>1</v>
      </c>
      <c r="I50" s="19">
        <f t="shared" ref="I50" si="124">G50*H50</f>
        <v>4.1000000000000227</v>
      </c>
      <c r="J50" s="12"/>
      <c r="K50" s="17"/>
      <c r="L50" s="19"/>
      <c r="M50" s="17"/>
      <c r="N50" s="19"/>
      <c r="O50" s="17"/>
      <c r="P50" s="12"/>
      <c r="Q50" s="17"/>
      <c r="R50" s="19"/>
      <c r="S50" s="17"/>
      <c r="T50" s="19"/>
      <c r="U50" s="19">
        <v>1.34</v>
      </c>
      <c r="V50" s="19">
        <v>0.9</v>
      </c>
      <c r="W50" s="25"/>
    </row>
    <row r="51" spans="1:23" ht="15.75" x14ac:dyDescent="0.25">
      <c r="A51" s="12">
        <v>42</v>
      </c>
      <c r="B51" s="22" t="s">
        <v>300</v>
      </c>
      <c r="C51" s="19" t="s">
        <v>201</v>
      </c>
      <c r="D51" s="19" t="s">
        <v>124</v>
      </c>
      <c r="E51" s="12">
        <v>566.79999999999995</v>
      </c>
      <c r="F51" s="17">
        <f t="shared" ref="F51:F54" si="125">E50</f>
        <v>547.9</v>
      </c>
      <c r="G51" s="19">
        <f t="shared" ref="G51:G54" si="126">E51-F51</f>
        <v>18.899999999999977</v>
      </c>
      <c r="H51" s="91">
        <v>1</v>
      </c>
      <c r="I51" s="19">
        <f t="shared" ref="I51:I54" si="127">G51*H51</f>
        <v>18.899999999999977</v>
      </c>
      <c r="J51" s="12"/>
      <c r="K51" s="17"/>
      <c r="L51" s="19"/>
      <c r="M51" s="17"/>
      <c r="N51" s="19"/>
      <c r="O51" s="17"/>
      <c r="P51" s="12"/>
      <c r="Q51" s="17"/>
      <c r="R51" s="19"/>
      <c r="S51" s="17"/>
      <c r="T51" s="19"/>
      <c r="U51" s="19">
        <v>1.81</v>
      </c>
      <c r="V51" s="19">
        <v>0.9</v>
      </c>
      <c r="W51" s="25"/>
    </row>
    <row r="52" spans="1:23" ht="15.75" x14ac:dyDescent="0.25">
      <c r="A52" s="12">
        <v>43</v>
      </c>
      <c r="B52" s="22" t="s">
        <v>301</v>
      </c>
      <c r="C52" s="19" t="s">
        <v>201</v>
      </c>
      <c r="D52" s="19" t="s">
        <v>124</v>
      </c>
      <c r="E52" s="12">
        <v>588.9</v>
      </c>
      <c r="F52" s="17">
        <f t="shared" si="125"/>
        <v>566.79999999999995</v>
      </c>
      <c r="G52" s="19">
        <f t="shared" si="126"/>
        <v>22.100000000000023</v>
      </c>
      <c r="H52" s="91">
        <v>1</v>
      </c>
      <c r="I52" s="19">
        <f t="shared" si="127"/>
        <v>22.100000000000023</v>
      </c>
      <c r="J52" s="12"/>
      <c r="K52" s="17"/>
      <c r="L52" s="19"/>
      <c r="M52" s="17"/>
      <c r="N52" s="19"/>
      <c r="O52" s="17"/>
      <c r="P52" s="12"/>
      <c r="Q52" s="17"/>
      <c r="R52" s="19"/>
      <c r="S52" s="17"/>
      <c r="T52" s="19"/>
      <c r="U52" s="19">
        <v>1.45</v>
      </c>
      <c r="V52" s="19">
        <v>0.9</v>
      </c>
      <c r="W52" s="25"/>
    </row>
    <row r="53" spans="1:23" ht="15.75" x14ac:dyDescent="0.25">
      <c r="A53" s="12">
        <v>44</v>
      </c>
      <c r="B53" s="22" t="s">
        <v>302</v>
      </c>
      <c r="C53" s="19" t="s">
        <v>201</v>
      </c>
      <c r="D53" s="19" t="s">
        <v>124</v>
      </c>
      <c r="E53" s="12">
        <v>618.5</v>
      </c>
      <c r="F53" s="17">
        <f t="shared" si="125"/>
        <v>588.9</v>
      </c>
      <c r="G53" s="19">
        <f t="shared" si="126"/>
        <v>29.600000000000023</v>
      </c>
      <c r="H53" s="91">
        <v>1</v>
      </c>
      <c r="I53" s="19">
        <f t="shared" si="127"/>
        <v>29.600000000000023</v>
      </c>
      <c r="J53" s="12"/>
      <c r="K53" s="17"/>
      <c r="L53" s="19"/>
      <c r="M53" s="17"/>
      <c r="N53" s="19"/>
      <c r="O53" s="17"/>
      <c r="P53" s="12"/>
      <c r="Q53" s="17"/>
      <c r="R53" s="19"/>
      <c r="S53" s="17"/>
      <c r="T53" s="19"/>
      <c r="U53" s="19">
        <v>1.52</v>
      </c>
      <c r="V53" s="19">
        <v>0.9</v>
      </c>
      <c r="W53" s="25"/>
    </row>
    <row r="54" spans="1:23" ht="15.75" x14ac:dyDescent="0.25">
      <c r="A54" s="105">
        <v>45</v>
      </c>
      <c r="B54" s="22" t="s">
        <v>303</v>
      </c>
      <c r="C54" s="111" t="s">
        <v>201</v>
      </c>
      <c r="D54" s="111" t="s">
        <v>124</v>
      </c>
      <c r="E54" s="105">
        <v>645.1</v>
      </c>
      <c r="F54" s="106">
        <f t="shared" si="125"/>
        <v>618.5</v>
      </c>
      <c r="G54" s="111">
        <f t="shared" si="126"/>
        <v>26.600000000000023</v>
      </c>
      <c r="H54" s="91">
        <v>1</v>
      </c>
      <c r="I54" s="111">
        <f t="shared" si="127"/>
        <v>26.600000000000023</v>
      </c>
      <c r="J54" s="105"/>
      <c r="K54" s="106"/>
      <c r="L54" s="111"/>
      <c r="M54" s="106"/>
      <c r="N54" s="111"/>
      <c r="O54" s="106"/>
      <c r="P54" s="105"/>
      <c r="Q54" s="106"/>
      <c r="R54" s="111"/>
      <c r="S54" s="106"/>
      <c r="T54" s="111"/>
      <c r="U54" s="111">
        <v>1.26</v>
      </c>
      <c r="V54" s="111">
        <v>0.94</v>
      </c>
      <c r="W54" s="25"/>
    </row>
    <row r="55" spans="1:23" ht="15.75" x14ac:dyDescent="0.25">
      <c r="A55" s="120">
        <v>46</v>
      </c>
      <c r="B55" s="116" t="s">
        <v>305</v>
      </c>
      <c r="C55" s="118" t="s">
        <v>201</v>
      </c>
      <c r="D55" s="118" t="s">
        <v>124</v>
      </c>
      <c r="E55" s="120">
        <v>682</v>
      </c>
      <c r="F55" s="119">
        <f t="shared" ref="F55" si="128">E54</f>
        <v>645.1</v>
      </c>
      <c r="G55" s="118">
        <f t="shared" ref="G55" si="129">E55-F55</f>
        <v>36.899999999999977</v>
      </c>
      <c r="H55" s="91">
        <v>1</v>
      </c>
      <c r="I55" s="118">
        <f t="shared" ref="I55" si="130">G55*H55</f>
        <v>36.899999999999977</v>
      </c>
      <c r="J55" s="120"/>
      <c r="K55" s="119"/>
      <c r="L55" s="118"/>
      <c r="M55" s="119"/>
      <c r="N55" s="118"/>
      <c r="O55" s="119"/>
      <c r="P55" s="120"/>
      <c r="Q55" s="119"/>
      <c r="R55" s="118"/>
      <c r="S55" s="119"/>
      <c r="T55" s="118"/>
      <c r="U55" s="118">
        <v>1.19</v>
      </c>
      <c r="V55" s="118">
        <v>0.96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201</v>
      </c>
      <c r="D57" s="123" t="s">
        <v>124</v>
      </c>
      <c r="E57" s="125">
        <v>695.3</v>
      </c>
      <c r="F57" s="124">
        <f t="shared" ref="F57" si="131">E55</f>
        <v>682</v>
      </c>
      <c r="G57" s="123">
        <f t="shared" ref="G57" si="132">E57-F57</f>
        <v>13.299999999999955</v>
      </c>
      <c r="H57" s="91">
        <v>1</v>
      </c>
      <c r="I57" s="123">
        <f t="shared" ref="I57" si="133">G57*H57</f>
        <v>13.299999999999955</v>
      </c>
      <c r="J57" s="125"/>
      <c r="K57" s="124"/>
      <c r="L57" s="123"/>
      <c r="M57" s="124"/>
      <c r="N57" s="123"/>
      <c r="O57" s="124"/>
      <c r="P57" s="125"/>
      <c r="Q57" s="124"/>
      <c r="R57" s="123"/>
      <c r="S57" s="124"/>
      <c r="T57" s="123"/>
      <c r="U57" s="123">
        <v>0.82</v>
      </c>
      <c r="V57" s="123">
        <v>0.92</v>
      </c>
      <c r="W57" s="25"/>
    </row>
    <row r="58" spans="1:23" ht="15.75" x14ac:dyDescent="0.25">
      <c r="A58" s="126">
        <v>48</v>
      </c>
      <c r="B58" s="116" t="s">
        <v>307</v>
      </c>
      <c r="C58" s="129" t="s">
        <v>201</v>
      </c>
      <c r="D58" s="138" t="s">
        <v>124</v>
      </c>
      <c r="E58" s="135">
        <v>724.6</v>
      </c>
      <c r="F58" s="136">
        <f t="shared" ref="F58" si="134">E57</f>
        <v>695.3</v>
      </c>
      <c r="G58" s="138">
        <f t="shared" ref="G58" si="135">E58-F58</f>
        <v>29.300000000000068</v>
      </c>
      <c r="H58" s="91">
        <v>1</v>
      </c>
      <c r="I58" s="138">
        <f t="shared" ref="I58" si="136">G58*H58</f>
        <v>29.300000000000068</v>
      </c>
      <c r="J58" s="135"/>
      <c r="K58" s="136"/>
      <c r="L58" s="138"/>
      <c r="M58" s="136"/>
      <c r="N58" s="138"/>
      <c r="O58" s="136"/>
      <c r="P58" s="135"/>
      <c r="Q58" s="136"/>
      <c r="R58" s="138"/>
      <c r="S58" s="136"/>
      <c r="T58" s="138"/>
      <c r="U58" s="138">
        <v>1.8</v>
      </c>
      <c r="V58" s="138">
        <v>0.82</v>
      </c>
      <c r="W58" s="25"/>
    </row>
    <row r="59" spans="1:23" ht="15.75" x14ac:dyDescent="0.25">
      <c r="A59" s="135">
        <v>49</v>
      </c>
      <c r="B59" s="116" t="s">
        <v>309</v>
      </c>
      <c r="C59" s="138" t="s">
        <v>201</v>
      </c>
      <c r="D59" s="138" t="s">
        <v>124</v>
      </c>
      <c r="E59" s="135">
        <v>765.9</v>
      </c>
      <c r="F59" s="136">
        <f t="shared" ref="F59" si="137">E58</f>
        <v>724.6</v>
      </c>
      <c r="G59" s="138">
        <f t="shared" ref="G59:G61" si="138">E59-F59</f>
        <v>41.299999999999955</v>
      </c>
      <c r="H59" s="91">
        <v>1</v>
      </c>
      <c r="I59" s="138">
        <f t="shared" ref="I59:I61" si="139">G59*H59</f>
        <v>41.299999999999955</v>
      </c>
      <c r="J59" s="135"/>
      <c r="K59" s="136"/>
      <c r="L59" s="138"/>
      <c r="M59" s="136"/>
      <c r="N59" s="138"/>
      <c r="O59" s="136"/>
      <c r="P59" s="135"/>
      <c r="Q59" s="136"/>
      <c r="R59" s="138"/>
      <c r="S59" s="136"/>
      <c r="T59" s="138"/>
      <c r="U59" s="138">
        <v>1.01</v>
      </c>
      <c r="V59" s="138">
        <v>0.81</v>
      </c>
      <c r="W59" s="25"/>
    </row>
    <row r="60" spans="1:23" ht="15.75" x14ac:dyDescent="0.25">
      <c r="A60" s="146">
        <v>50</v>
      </c>
      <c r="B60" s="116" t="s">
        <v>310</v>
      </c>
      <c r="C60" s="144" t="s">
        <v>201</v>
      </c>
      <c r="D60" s="144" t="s">
        <v>124</v>
      </c>
      <c r="E60" s="146">
        <v>798.2</v>
      </c>
      <c r="F60" s="145">
        <f t="shared" ref="F60" si="140">E58</f>
        <v>724.6</v>
      </c>
      <c r="G60" s="144">
        <f t="shared" si="138"/>
        <v>73.600000000000023</v>
      </c>
      <c r="H60" s="91">
        <v>1</v>
      </c>
      <c r="I60" s="144">
        <f t="shared" si="139"/>
        <v>73.600000000000023</v>
      </c>
      <c r="J60" s="146"/>
      <c r="K60" s="145"/>
      <c r="L60" s="144"/>
      <c r="M60" s="145"/>
      <c r="N60" s="144"/>
      <c r="O60" s="145"/>
      <c r="P60" s="146"/>
      <c r="Q60" s="145"/>
      <c r="R60" s="144"/>
      <c r="S60" s="145"/>
      <c r="T60" s="144"/>
      <c r="U60" s="144">
        <v>1.8</v>
      </c>
      <c r="V60" s="144">
        <v>0.82</v>
      </c>
      <c r="W60" s="25"/>
    </row>
    <row r="61" spans="1:23" ht="15.75" x14ac:dyDescent="0.25">
      <c r="A61" s="151">
        <v>51</v>
      </c>
      <c r="B61" s="116" t="s">
        <v>316</v>
      </c>
      <c r="C61" s="149" t="s">
        <v>201</v>
      </c>
      <c r="D61" s="149" t="s">
        <v>124</v>
      </c>
      <c r="E61" s="151">
        <v>835.3</v>
      </c>
      <c r="F61" s="150">
        <v>798.2</v>
      </c>
      <c r="G61" s="149">
        <f t="shared" si="138"/>
        <v>37.099999999999909</v>
      </c>
      <c r="H61" s="91">
        <v>1</v>
      </c>
      <c r="I61" s="149">
        <f t="shared" si="139"/>
        <v>37.099999999999909</v>
      </c>
      <c r="J61" s="151"/>
      <c r="K61" s="150"/>
      <c r="L61" s="149"/>
      <c r="M61" s="150"/>
      <c r="N61" s="149"/>
      <c r="O61" s="150"/>
      <c r="P61" s="151"/>
      <c r="Q61" s="150"/>
      <c r="R61" s="149"/>
      <c r="S61" s="150"/>
      <c r="T61" s="149"/>
      <c r="U61" s="149">
        <v>1.42</v>
      </c>
      <c r="V61" s="149">
        <v>0.82</v>
      </c>
      <c r="W61" s="25"/>
    </row>
    <row r="62" spans="1:23" ht="15.75" x14ac:dyDescent="0.25">
      <c r="A62" s="155">
        <v>52</v>
      </c>
      <c r="B62" s="116" t="s">
        <v>319</v>
      </c>
      <c r="C62" s="142" t="s">
        <v>201</v>
      </c>
      <c r="D62" s="142" t="s">
        <v>124</v>
      </c>
      <c r="E62" s="139">
        <v>866.1</v>
      </c>
      <c r="F62" s="140">
        <v>835.3</v>
      </c>
      <c r="G62" s="142">
        <f t="shared" ref="G62:G64" si="141">E62-F62</f>
        <v>30.800000000000068</v>
      </c>
      <c r="H62" s="91">
        <v>1</v>
      </c>
      <c r="I62" s="142">
        <f t="shared" ref="I62:I64" si="142">G62*H62</f>
        <v>30.800000000000068</v>
      </c>
      <c r="J62" s="139"/>
      <c r="K62" s="140"/>
      <c r="L62" s="142"/>
      <c r="M62" s="140"/>
      <c r="N62" s="142"/>
      <c r="O62" s="140"/>
      <c r="P62" s="139"/>
      <c r="Q62" s="140"/>
      <c r="R62" s="142"/>
      <c r="S62" s="140"/>
      <c r="T62" s="142"/>
      <c r="U62" s="142">
        <v>1.42</v>
      </c>
      <c r="V62" s="142">
        <v>0.82</v>
      </c>
      <c r="W62" s="25"/>
    </row>
    <row r="63" spans="1:23" ht="15.75" x14ac:dyDescent="0.25">
      <c r="A63" s="170">
        <v>53</v>
      </c>
      <c r="B63" s="116" t="s">
        <v>321</v>
      </c>
      <c r="C63" s="168" t="s">
        <v>201</v>
      </c>
      <c r="D63" s="168" t="s">
        <v>124</v>
      </c>
      <c r="E63" s="170">
        <v>909.4</v>
      </c>
      <c r="F63" s="170">
        <v>866.1</v>
      </c>
      <c r="G63" s="168">
        <f t="shared" si="141"/>
        <v>43.299999999999955</v>
      </c>
      <c r="H63" s="91">
        <v>1</v>
      </c>
      <c r="I63" s="168">
        <f t="shared" si="142"/>
        <v>43.299999999999955</v>
      </c>
      <c r="J63" s="170">
        <v>3447.1</v>
      </c>
      <c r="K63" s="169">
        <v>3402</v>
      </c>
      <c r="L63" s="168">
        <f t="shared" ref="L63:L64" si="143">J63-K63</f>
        <v>45.099999999999909</v>
      </c>
      <c r="M63" s="169">
        <f>M61</f>
        <v>0</v>
      </c>
      <c r="N63" s="168">
        <f t="shared" ref="N63:N64" si="144">L63*M63</f>
        <v>0</v>
      </c>
      <c r="O63" s="169"/>
      <c r="P63" s="170"/>
      <c r="Q63" s="169"/>
      <c r="R63" s="168"/>
      <c r="S63" s="169"/>
      <c r="T63" s="168"/>
      <c r="U63" s="168">
        <v>1.81</v>
      </c>
      <c r="V63" s="168">
        <v>0.84</v>
      </c>
      <c r="W63" s="25"/>
    </row>
    <row r="64" spans="1:23" ht="15.75" x14ac:dyDescent="0.25">
      <c r="A64" s="175">
        <v>54</v>
      </c>
      <c r="B64" s="116" t="s">
        <v>327</v>
      </c>
      <c r="C64" s="178" t="s">
        <v>201</v>
      </c>
      <c r="D64" s="178" t="s">
        <v>124</v>
      </c>
      <c r="E64" s="175">
        <v>947.7</v>
      </c>
      <c r="F64" s="175">
        <v>909.4</v>
      </c>
      <c r="G64" s="178">
        <f t="shared" si="141"/>
        <v>38.300000000000068</v>
      </c>
      <c r="H64" s="91">
        <v>1</v>
      </c>
      <c r="I64" s="178">
        <f t="shared" si="142"/>
        <v>38.300000000000068</v>
      </c>
      <c r="J64" s="175">
        <v>3447.1</v>
      </c>
      <c r="K64" s="176">
        <v>3447.1</v>
      </c>
      <c r="L64" s="178">
        <f t="shared" si="143"/>
        <v>0</v>
      </c>
      <c r="M64" s="176">
        <f>M61</f>
        <v>0</v>
      </c>
      <c r="N64" s="178">
        <f t="shared" si="144"/>
        <v>0</v>
      </c>
      <c r="O64" s="176"/>
      <c r="P64" s="175"/>
      <c r="Q64" s="176"/>
      <c r="R64" s="178"/>
      <c r="S64" s="176"/>
      <c r="T64" s="178"/>
      <c r="U64" s="178">
        <v>1.81</v>
      </c>
      <c r="V64" s="178">
        <v>0.84</v>
      </c>
      <c r="W64" s="25"/>
    </row>
    <row r="65" spans="1:23" ht="15.75" x14ac:dyDescent="0.25">
      <c r="A65" s="155">
        <v>55</v>
      </c>
      <c r="B65" s="116" t="s">
        <v>330</v>
      </c>
      <c r="C65" s="158" t="s">
        <v>201</v>
      </c>
      <c r="D65" s="158" t="s">
        <v>124</v>
      </c>
      <c r="E65" s="155">
        <v>979.1</v>
      </c>
      <c r="F65" s="175">
        <v>947.7</v>
      </c>
      <c r="G65" s="158">
        <f t="shared" ref="G65:G66" si="145">E65-F65</f>
        <v>31.399999999999977</v>
      </c>
      <c r="H65" s="91">
        <v>1</v>
      </c>
      <c r="I65" s="158">
        <f t="shared" ref="I65:I66" si="146">G65*H65</f>
        <v>31.399999999999977</v>
      </c>
      <c r="J65" s="155">
        <v>3447.1</v>
      </c>
      <c r="K65" s="156">
        <v>3447.1</v>
      </c>
      <c r="L65" s="158">
        <f t="shared" ref="L65:L66" si="147">J65-K65</f>
        <v>0</v>
      </c>
      <c r="M65" s="156">
        <f>M62</f>
        <v>0</v>
      </c>
      <c r="N65" s="158">
        <f t="shared" ref="N65:N66" si="148">L65*M65</f>
        <v>0</v>
      </c>
      <c r="O65" s="156"/>
      <c r="P65" s="155"/>
      <c r="Q65" s="156"/>
      <c r="R65" s="158"/>
      <c r="S65" s="156"/>
      <c r="T65" s="158"/>
      <c r="U65" s="158">
        <v>1.81</v>
      </c>
      <c r="V65" s="158">
        <v>0.84</v>
      </c>
      <c r="W65" s="25"/>
    </row>
    <row r="66" spans="1:23" ht="15.75" x14ac:dyDescent="0.25">
      <c r="A66" s="183">
        <v>56</v>
      </c>
      <c r="B66" s="116" t="s">
        <v>331</v>
      </c>
      <c r="C66" s="186" t="s">
        <v>201</v>
      </c>
      <c r="D66" s="186" t="s">
        <v>124</v>
      </c>
      <c r="E66" s="183">
        <v>1013.7</v>
      </c>
      <c r="F66" s="183">
        <v>979.1</v>
      </c>
      <c r="G66" s="186">
        <f t="shared" si="145"/>
        <v>34.600000000000023</v>
      </c>
      <c r="H66" s="91">
        <v>1</v>
      </c>
      <c r="I66" s="186">
        <f t="shared" si="146"/>
        <v>34.600000000000023</v>
      </c>
      <c r="J66" s="183">
        <v>3447.1</v>
      </c>
      <c r="K66" s="183">
        <v>3447.1</v>
      </c>
      <c r="L66" s="186">
        <f t="shared" si="147"/>
        <v>0</v>
      </c>
      <c r="M66" s="184">
        <f>M62</f>
        <v>0</v>
      </c>
      <c r="N66" s="186">
        <f t="shared" si="148"/>
        <v>0</v>
      </c>
      <c r="O66" s="184"/>
      <c r="P66" s="183"/>
      <c r="Q66" s="184"/>
      <c r="R66" s="186"/>
      <c r="S66" s="184"/>
      <c r="T66" s="186"/>
      <c r="U66" s="186">
        <v>1.44</v>
      </c>
      <c r="V66" s="186">
        <v>0.87</v>
      </c>
      <c r="W66" s="25"/>
    </row>
    <row r="67" spans="1:23" ht="15.75" x14ac:dyDescent="0.25">
      <c r="A67" s="182">
        <v>57</v>
      </c>
      <c r="B67" s="116" t="s">
        <v>332</v>
      </c>
      <c r="C67" s="180" t="s">
        <v>201</v>
      </c>
      <c r="D67" s="180" t="s">
        <v>124</v>
      </c>
      <c r="E67" s="182">
        <v>1049.3</v>
      </c>
      <c r="F67" s="182">
        <v>1013.7</v>
      </c>
      <c r="G67" s="180">
        <f t="shared" ref="G67" si="149">E67-F67</f>
        <v>35.599999999999909</v>
      </c>
      <c r="H67" s="91">
        <v>1</v>
      </c>
      <c r="I67" s="180">
        <f t="shared" ref="I67" si="150">G67*H67</f>
        <v>35.599999999999909</v>
      </c>
      <c r="J67" s="182">
        <v>3447.1</v>
      </c>
      <c r="K67" s="182">
        <v>3447.1</v>
      </c>
      <c r="L67" s="180">
        <f t="shared" ref="L67" si="151">J67-K67</f>
        <v>0</v>
      </c>
      <c r="M67" s="181">
        <f>M63</f>
        <v>0</v>
      </c>
      <c r="N67" s="180">
        <f t="shared" ref="N67" si="152">L67*M67</f>
        <v>0</v>
      </c>
      <c r="O67" s="181"/>
      <c r="P67" s="182"/>
      <c r="Q67" s="181"/>
      <c r="R67" s="180"/>
      <c r="S67" s="181"/>
      <c r="T67" s="180"/>
      <c r="U67" s="180">
        <v>1.2</v>
      </c>
      <c r="V67" s="180">
        <v>0.78800000000000003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4"/>
      <c r="H68" s="22" t="s">
        <v>121</v>
      </c>
      <c r="I68" s="164">
        <f>SUM(I57:I65)</f>
        <v>338.4</v>
      </c>
      <c r="J68" s="164"/>
      <c r="K68" s="162"/>
      <c r="L68" s="164"/>
      <c r="M68" s="162"/>
      <c r="N68" s="164">
        <f>SUM(N57:N65)</f>
        <v>0</v>
      </c>
      <c r="O68" s="164">
        <f>SUM(O57:O65)</f>
        <v>0</v>
      </c>
      <c r="P68" s="164"/>
      <c r="Q68" s="162"/>
      <c r="R68" s="164"/>
      <c r="S68" s="162"/>
      <c r="T68" s="164">
        <f>SUM(T57:T65)</f>
        <v>0</v>
      </c>
      <c r="U68" s="164"/>
      <c r="V68" s="164"/>
      <c r="W68" s="31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38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38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38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24"/>
      <c r="V71" s="24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38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24"/>
      <c r="V72" s="24"/>
      <c r="W72" s="25"/>
    </row>
    <row r="73" spans="1:23" ht="15.75" x14ac:dyDescent="0.25">
      <c r="A73" s="37"/>
      <c r="B73" s="78"/>
      <c r="C73" s="24"/>
      <c r="D73" s="24"/>
      <c r="E73" s="37"/>
      <c r="F73" s="38"/>
      <c r="G73" s="24"/>
      <c r="H73" s="38"/>
      <c r="I73" s="24"/>
      <c r="J73" s="37"/>
      <c r="K73" s="38"/>
      <c r="L73" s="24"/>
      <c r="M73" s="38"/>
      <c r="N73" s="24"/>
      <c r="O73" s="38"/>
      <c r="P73" s="37"/>
      <c r="Q73" s="38"/>
      <c r="R73" s="24"/>
      <c r="S73" s="38"/>
      <c r="T73" s="24"/>
      <c r="U73" s="24"/>
      <c r="V73" s="24"/>
      <c r="W73" s="25"/>
    </row>
    <row r="74" spans="1:23" ht="15.75" x14ac:dyDescent="0.25">
      <c r="A74" s="37"/>
      <c r="B74" s="78"/>
      <c r="C74" s="24"/>
      <c r="D74" s="24"/>
      <c r="E74" s="37"/>
      <c r="F74" s="38"/>
      <c r="G74" s="24"/>
      <c r="H74" s="38"/>
      <c r="I74" s="24"/>
      <c r="J74" s="37"/>
      <c r="K74" s="38"/>
      <c r="L74" s="24"/>
      <c r="M74" s="38"/>
      <c r="N74" s="24"/>
      <c r="O74" s="38"/>
      <c r="P74" s="37"/>
      <c r="Q74" s="38"/>
      <c r="R74" s="24"/>
      <c r="S74" s="38"/>
      <c r="T74" s="24"/>
      <c r="U74" s="24"/>
      <c r="V74" s="24"/>
      <c r="W74" s="25"/>
    </row>
    <row r="75" spans="1:23" ht="15.75" x14ac:dyDescent="0.25">
      <c r="A75" s="37"/>
      <c r="B75" s="78"/>
      <c r="C75" s="24"/>
      <c r="D75" s="24"/>
      <c r="E75" s="37"/>
      <c r="F75" s="38"/>
      <c r="G75" s="24"/>
      <c r="H75" s="38"/>
      <c r="I75" s="24"/>
      <c r="J75" s="37"/>
      <c r="K75" s="38"/>
      <c r="L75" s="24"/>
      <c r="M75" s="38"/>
      <c r="N75" s="24"/>
      <c r="O75" s="38"/>
      <c r="P75" s="37"/>
      <c r="Q75" s="38"/>
      <c r="R75" s="24"/>
      <c r="S75" s="38"/>
      <c r="T75" s="24"/>
      <c r="U75" s="24"/>
      <c r="V75" s="24"/>
      <c r="W75" s="25"/>
    </row>
    <row r="76" spans="1:23" ht="15.75" x14ac:dyDescent="0.25">
      <c r="A76" s="31">
        <v>1</v>
      </c>
      <c r="B76" s="31" t="s">
        <v>23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37"/>
      <c r="Q76" s="38"/>
      <c r="R76" s="24"/>
      <c r="S76" s="38"/>
      <c r="T76" s="24"/>
      <c r="U76" s="25"/>
      <c r="V76" s="25"/>
      <c r="W76" s="25"/>
    </row>
    <row r="77" spans="1:23" ht="15.75" x14ac:dyDescent="0.25">
      <c r="A77" s="31">
        <v>2</v>
      </c>
      <c r="B77" s="31" t="s">
        <v>24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37"/>
      <c r="Q77" s="38"/>
      <c r="R77" s="24"/>
      <c r="S77" s="38"/>
      <c r="T77" s="24"/>
      <c r="U77" s="25"/>
      <c r="V77" s="25"/>
      <c r="W77" s="25"/>
    </row>
    <row r="78" spans="1:23" ht="15.75" x14ac:dyDescent="0.25">
      <c r="A78" s="31">
        <v>3</v>
      </c>
      <c r="B78" s="31" t="s">
        <v>25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37"/>
      <c r="Q78" s="38"/>
      <c r="R78" s="24"/>
      <c r="S78" s="38"/>
      <c r="T78" s="24"/>
      <c r="U78" s="25"/>
      <c r="V78" s="25"/>
      <c r="W78" s="25"/>
    </row>
    <row r="81" spans="18:18" x14ac:dyDescent="0.25">
      <c r="R81" t="s">
        <v>65</v>
      </c>
    </row>
  </sheetData>
  <mergeCells count="21">
    <mergeCell ref="U23:V26"/>
    <mergeCell ref="J5:N5"/>
    <mergeCell ref="O5:O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76"/>
  <sheetViews>
    <sheetView view="pageBreakPreview" topLeftCell="B37" zoomScale="85" zoomScaleNormal="85" zoomScaleSheetLayoutView="85" workbookViewId="0">
      <selection activeCell="P67" sqref="P67"/>
    </sheetView>
  </sheetViews>
  <sheetFormatPr defaultRowHeight="15" x14ac:dyDescent="0.25"/>
  <cols>
    <col min="1" max="1" width="7.5703125" customWidth="1"/>
    <col min="2" max="2" width="13" customWidth="1"/>
    <col min="3" max="3" width="14.570312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162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163</v>
      </c>
      <c r="C3" s="207"/>
      <c r="D3" s="12" t="s">
        <v>6</v>
      </c>
      <c r="E3" s="201" t="s">
        <v>161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132</v>
      </c>
      <c r="W3" s="25"/>
    </row>
    <row r="4" spans="1:23" ht="15.75" x14ac:dyDescent="0.25">
      <c r="A4" s="12" t="s">
        <v>0</v>
      </c>
      <c r="B4" s="216" t="s">
        <v>161</v>
      </c>
      <c r="C4" s="216"/>
      <c r="D4" s="12" t="s">
        <v>9</v>
      </c>
      <c r="E4" s="201" t="s">
        <v>164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 t="s">
        <v>152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160</v>
      </c>
      <c r="D7" s="19" t="s">
        <v>124</v>
      </c>
      <c r="E7" s="17">
        <v>7.5</v>
      </c>
      <c r="F7" s="17">
        <v>0.2</v>
      </c>
      <c r="G7" s="19">
        <f t="shared" ref="G7" si="0">E7-F7</f>
        <v>7.3</v>
      </c>
      <c r="H7" s="17">
        <v>1</v>
      </c>
      <c r="I7" s="19">
        <f t="shared" ref="I7" si="1">G7*H7</f>
        <v>7.3</v>
      </c>
      <c r="J7" s="17">
        <v>250.2</v>
      </c>
      <c r="K7" s="17">
        <v>0.7</v>
      </c>
      <c r="L7" s="19">
        <f t="shared" ref="L7" si="2">J7-K7</f>
        <v>249.5</v>
      </c>
      <c r="M7" s="17">
        <v>1</v>
      </c>
      <c r="N7" s="19">
        <f t="shared" ref="N7" si="3">L7*M7</f>
        <v>249.5</v>
      </c>
      <c r="O7" s="17">
        <f>N7-I7</f>
        <v>242.2</v>
      </c>
      <c r="P7" s="17">
        <v>454.2</v>
      </c>
      <c r="Q7" s="17">
        <v>187.5</v>
      </c>
      <c r="R7" s="19">
        <f t="shared" ref="R7" si="4">P7-Q7</f>
        <v>266.7</v>
      </c>
      <c r="S7" s="17">
        <v>1</v>
      </c>
      <c r="T7" s="19">
        <f t="shared" ref="T7" si="5">R7*S7</f>
        <v>266.7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160</v>
      </c>
      <c r="D8" s="19" t="s">
        <v>124</v>
      </c>
      <c r="E8" s="17">
        <v>21.3</v>
      </c>
      <c r="F8" s="17">
        <f t="shared" ref="F8:F13" si="6">E7</f>
        <v>7.5</v>
      </c>
      <c r="G8" s="19">
        <f t="shared" ref="G8" si="7">E8-F8</f>
        <v>13.8</v>
      </c>
      <c r="H8" s="17">
        <f t="shared" ref="H8:H16" si="8">H7</f>
        <v>1</v>
      </c>
      <c r="I8" s="19">
        <f t="shared" ref="I8" si="9">G8*H8</f>
        <v>13.8</v>
      </c>
      <c r="J8" s="17">
        <v>525.20000000000005</v>
      </c>
      <c r="K8" s="17">
        <f t="shared" ref="K8:K13" si="10">J7</f>
        <v>250.2</v>
      </c>
      <c r="L8" s="19">
        <f t="shared" ref="L8" si="11">J8-K8</f>
        <v>275.00000000000006</v>
      </c>
      <c r="M8" s="17">
        <f t="shared" ref="M8:M16" si="12">M7</f>
        <v>1</v>
      </c>
      <c r="N8" s="19">
        <f t="shared" ref="N8" si="13">L8*M8</f>
        <v>275.00000000000006</v>
      </c>
      <c r="O8" s="17">
        <f>N8-I8</f>
        <v>261.20000000000005</v>
      </c>
      <c r="P8" s="17">
        <v>718.7</v>
      </c>
      <c r="Q8" s="17">
        <f t="shared" ref="Q8:Q13" si="14">P7</f>
        <v>454.2</v>
      </c>
      <c r="R8" s="19">
        <f t="shared" ref="R8" si="15">P8-Q8</f>
        <v>264.50000000000006</v>
      </c>
      <c r="S8" s="17">
        <f t="shared" ref="S8:S16" si="16">S7</f>
        <v>1</v>
      </c>
      <c r="T8" s="19">
        <f t="shared" ref="T8" si="17">R8*S8</f>
        <v>264.50000000000006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160</v>
      </c>
      <c r="D9" s="19" t="s">
        <v>124</v>
      </c>
      <c r="E9" s="17">
        <v>35.5</v>
      </c>
      <c r="F9" s="17">
        <f t="shared" si="6"/>
        <v>21.3</v>
      </c>
      <c r="G9" s="19">
        <f t="shared" ref="G9" si="18">E9-F9</f>
        <v>14.2</v>
      </c>
      <c r="H9" s="17">
        <f t="shared" si="8"/>
        <v>1</v>
      </c>
      <c r="I9" s="19">
        <f t="shared" ref="I9" si="19">G9*H9</f>
        <v>14.2</v>
      </c>
      <c r="J9" s="17">
        <v>744</v>
      </c>
      <c r="K9" s="17">
        <f t="shared" si="10"/>
        <v>525.20000000000005</v>
      </c>
      <c r="L9" s="19">
        <f t="shared" ref="L9" si="20">J9-K9</f>
        <v>218.79999999999995</v>
      </c>
      <c r="M9" s="17">
        <f t="shared" si="12"/>
        <v>1</v>
      </c>
      <c r="N9" s="19">
        <f t="shared" ref="N9" si="21">L9*M9</f>
        <v>218.79999999999995</v>
      </c>
      <c r="O9" s="12">
        <f t="shared" ref="O9:O10" si="22">SUM(O7)</f>
        <v>242.2</v>
      </c>
      <c r="P9" s="17">
        <v>960</v>
      </c>
      <c r="Q9" s="17">
        <f t="shared" si="14"/>
        <v>718.7</v>
      </c>
      <c r="R9" s="19">
        <f t="shared" ref="R9" si="23">P9-Q9</f>
        <v>241.29999999999995</v>
      </c>
      <c r="S9" s="17">
        <f t="shared" si="16"/>
        <v>1</v>
      </c>
      <c r="T9" s="19">
        <f t="shared" ref="T9" si="24">R9*S9</f>
        <v>241.29999999999995</v>
      </c>
      <c r="U9" s="17">
        <v>1.7999999999999999E-2</v>
      </c>
      <c r="V9" s="17">
        <v>0.87</v>
      </c>
      <c r="W9" s="25"/>
    </row>
    <row r="10" spans="1:23" ht="15.75" x14ac:dyDescent="0.25">
      <c r="A10" s="12">
        <v>4</v>
      </c>
      <c r="B10" s="22" t="s">
        <v>244</v>
      </c>
      <c r="C10" s="19" t="s">
        <v>160</v>
      </c>
      <c r="D10" s="19" t="s">
        <v>124</v>
      </c>
      <c r="E10" s="17">
        <f>E9+11.2</f>
        <v>46.7</v>
      </c>
      <c r="F10" s="17">
        <f t="shared" si="6"/>
        <v>35.5</v>
      </c>
      <c r="G10" s="19">
        <f t="shared" ref="G10" si="25">E10-F10</f>
        <v>11.200000000000003</v>
      </c>
      <c r="H10" s="17">
        <f t="shared" si="8"/>
        <v>1</v>
      </c>
      <c r="I10" s="19">
        <f t="shared" ref="I10" si="26">G10*H10</f>
        <v>11.200000000000003</v>
      </c>
      <c r="J10" s="17">
        <f>J9+222</f>
        <v>966</v>
      </c>
      <c r="K10" s="17">
        <f t="shared" si="10"/>
        <v>744</v>
      </c>
      <c r="L10" s="19">
        <f t="shared" ref="L10" si="27">J10-K10</f>
        <v>222</v>
      </c>
      <c r="M10" s="17">
        <f t="shared" si="12"/>
        <v>1</v>
      </c>
      <c r="N10" s="19">
        <f t="shared" ref="N10" si="28">L10*M10</f>
        <v>222</v>
      </c>
      <c r="O10" s="12">
        <f t="shared" si="22"/>
        <v>261.20000000000005</v>
      </c>
      <c r="P10" s="17">
        <f>P9+239</f>
        <v>1199</v>
      </c>
      <c r="Q10" s="17">
        <f t="shared" si="14"/>
        <v>960</v>
      </c>
      <c r="R10" s="19">
        <f t="shared" ref="R10" si="29">P10-Q10</f>
        <v>239</v>
      </c>
      <c r="S10" s="17">
        <f t="shared" si="16"/>
        <v>1</v>
      </c>
      <c r="T10" s="19">
        <f t="shared" ref="T10" si="30">R10*S10</f>
        <v>239</v>
      </c>
      <c r="U10" s="17"/>
      <c r="V10" s="17"/>
      <c r="W10" s="25"/>
    </row>
    <row r="11" spans="1:23" ht="15.75" x14ac:dyDescent="0.25">
      <c r="A11" s="12">
        <v>5</v>
      </c>
      <c r="B11" s="22" t="s">
        <v>245</v>
      </c>
      <c r="C11" s="19" t="s">
        <v>160</v>
      </c>
      <c r="D11" s="19" t="s">
        <v>124</v>
      </c>
      <c r="E11" s="17">
        <f>E10+10</f>
        <v>56.7</v>
      </c>
      <c r="F11" s="17">
        <f t="shared" si="6"/>
        <v>46.7</v>
      </c>
      <c r="G11" s="19">
        <f t="shared" ref="G11" si="31">E11-F11</f>
        <v>10</v>
      </c>
      <c r="H11" s="17">
        <f t="shared" si="8"/>
        <v>1</v>
      </c>
      <c r="I11" s="19">
        <f t="shared" ref="I11" si="32">G11*H11</f>
        <v>10</v>
      </c>
      <c r="J11" s="17">
        <v>1183</v>
      </c>
      <c r="K11" s="17">
        <f t="shared" si="10"/>
        <v>966</v>
      </c>
      <c r="L11" s="19">
        <f t="shared" ref="L11" si="33">J11-K11</f>
        <v>217</v>
      </c>
      <c r="M11" s="17">
        <f t="shared" si="12"/>
        <v>1</v>
      </c>
      <c r="N11" s="19">
        <f t="shared" ref="N11" si="34">L11*M11</f>
        <v>217</v>
      </c>
      <c r="O11" s="12">
        <v>242.2</v>
      </c>
      <c r="P11" s="17">
        <f>P10+231</f>
        <v>1430</v>
      </c>
      <c r="Q11" s="17">
        <f t="shared" si="14"/>
        <v>1199</v>
      </c>
      <c r="R11" s="19">
        <f t="shared" ref="R11" si="35">P11-Q11</f>
        <v>231</v>
      </c>
      <c r="S11" s="17">
        <f t="shared" si="16"/>
        <v>1</v>
      </c>
      <c r="T11" s="19">
        <f t="shared" ref="T11" si="36">R11*S11</f>
        <v>231</v>
      </c>
      <c r="U11" s="17">
        <v>0.02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160</v>
      </c>
      <c r="D12" s="19" t="s">
        <v>124</v>
      </c>
      <c r="E12" s="12">
        <v>77.7</v>
      </c>
      <c r="F12" s="17">
        <f t="shared" si="6"/>
        <v>56.7</v>
      </c>
      <c r="G12" s="19">
        <f t="shared" ref="G12" si="37">E12-F12</f>
        <v>21</v>
      </c>
      <c r="H12" s="17">
        <f t="shared" si="8"/>
        <v>1</v>
      </c>
      <c r="I12" s="19">
        <f t="shared" ref="I12" si="38">G12*H12</f>
        <v>21</v>
      </c>
      <c r="J12" s="12">
        <v>1518.5</v>
      </c>
      <c r="K12" s="17">
        <f t="shared" si="10"/>
        <v>1183</v>
      </c>
      <c r="L12" s="19">
        <f t="shared" ref="L12" si="39">J12-K12</f>
        <v>335.5</v>
      </c>
      <c r="M12" s="17">
        <f t="shared" si="12"/>
        <v>1</v>
      </c>
      <c r="N12" s="19">
        <f t="shared" ref="N12" si="40">L12*M12</f>
        <v>335.5</v>
      </c>
      <c r="O12" s="12">
        <v>243.2</v>
      </c>
      <c r="P12" s="17">
        <v>1693.9</v>
      </c>
      <c r="Q12" s="17">
        <f t="shared" si="14"/>
        <v>1430</v>
      </c>
      <c r="R12" s="19">
        <f t="shared" ref="R12" si="41">P12-Q12</f>
        <v>263.90000000000009</v>
      </c>
      <c r="S12" s="17">
        <f t="shared" si="16"/>
        <v>1</v>
      </c>
      <c r="T12" s="19">
        <f t="shared" ref="T12" si="42">R12*S12</f>
        <v>263.90000000000009</v>
      </c>
      <c r="U12" s="19">
        <v>0.16</v>
      </c>
      <c r="V12" s="19">
        <v>0.94</v>
      </c>
      <c r="W12" s="25"/>
    </row>
    <row r="13" spans="1:23" ht="15.75" x14ac:dyDescent="0.25">
      <c r="A13" s="12">
        <v>7</v>
      </c>
      <c r="B13" s="22" t="s">
        <v>252</v>
      </c>
      <c r="C13" s="19" t="s">
        <v>160</v>
      </c>
      <c r="D13" s="19" t="s">
        <v>124</v>
      </c>
      <c r="E13" s="12">
        <v>89.6</v>
      </c>
      <c r="F13" s="17">
        <f t="shared" si="6"/>
        <v>77.7</v>
      </c>
      <c r="G13" s="19">
        <f t="shared" ref="G13" si="43">E13-F13</f>
        <v>11.899999999999991</v>
      </c>
      <c r="H13" s="17">
        <f t="shared" si="8"/>
        <v>1</v>
      </c>
      <c r="I13" s="19">
        <f t="shared" ref="I13" si="44">G13*H13</f>
        <v>11.899999999999991</v>
      </c>
      <c r="J13" s="12">
        <v>1744</v>
      </c>
      <c r="K13" s="17">
        <f t="shared" si="10"/>
        <v>1518.5</v>
      </c>
      <c r="L13" s="19">
        <f t="shared" ref="L13" si="45">J13-K13</f>
        <v>225.5</v>
      </c>
      <c r="M13" s="17">
        <f t="shared" si="12"/>
        <v>1</v>
      </c>
      <c r="N13" s="19">
        <f t="shared" ref="N13" si="46">L13*M13</f>
        <v>225.5</v>
      </c>
      <c r="O13" s="12">
        <v>244.2</v>
      </c>
      <c r="P13" s="12">
        <v>1949</v>
      </c>
      <c r="Q13" s="17">
        <f t="shared" si="14"/>
        <v>1693.9</v>
      </c>
      <c r="R13" s="19">
        <f t="shared" ref="R13" si="47">P13-Q13</f>
        <v>255.09999999999991</v>
      </c>
      <c r="S13" s="17">
        <f t="shared" si="16"/>
        <v>1</v>
      </c>
      <c r="T13" s="19">
        <f t="shared" ref="T13" si="48">R13*S13</f>
        <v>255.09999999999991</v>
      </c>
      <c r="U13" s="19">
        <v>0.05</v>
      </c>
      <c r="V13" s="19">
        <v>0.96</v>
      </c>
      <c r="W13" s="25"/>
    </row>
    <row r="14" spans="1:23" ht="15.75" x14ac:dyDescent="0.25">
      <c r="A14" s="12">
        <v>8</v>
      </c>
      <c r="B14" s="22" t="s">
        <v>253</v>
      </c>
      <c r="C14" s="19" t="s">
        <v>160</v>
      </c>
      <c r="D14" s="19" t="s">
        <v>124</v>
      </c>
      <c r="E14" s="12">
        <v>101.6</v>
      </c>
      <c r="F14" s="17">
        <f t="shared" ref="F14" si="49">E13</f>
        <v>89.6</v>
      </c>
      <c r="G14" s="19">
        <f t="shared" ref="G14" si="50">E14-F14</f>
        <v>12</v>
      </c>
      <c r="H14" s="17">
        <f t="shared" si="8"/>
        <v>1</v>
      </c>
      <c r="I14" s="19">
        <f t="shared" ref="I14" si="51">G14*H14</f>
        <v>12</v>
      </c>
      <c r="J14" s="12">
        <v>1970</v>
      </c>
      <c r="K14" s="17">
        <f t="shared" ref="K14" si="52">J13</f>
        <v>1744</v>
      </c>
      <c r="L14" s="19">
        <f t="shared" ref="L14" si="53">J14-K14</f>
        <v>226</v>
      </c>
      <c r="M14" s="17">
        <f t="shared" si="12"/>
        <v>1</v>
      </c>
      <c r="N14" s="19">
        <f t="shared" ref="N14" si="54">L14*M14</f>
        <v>226</v>
      </c>
      <c r="O14" s="12">
        <v>245.2</v>
      </c>
      <c r="P14" s="12">
        <v>2203</v>
      </c>
      <c r="Q14" s="17">
        <f t="shared" ref="Q14" si="55">P13</f>
        <v>1949</v>
      </c>
      <c r="R14" s="19">
        <f t="shared" ref="R14" si="56">P14-Q14</f>
        <v>254</v>
      </c>
      <c r="S14" s="17">
        <f t="shared" si="16"/>
        <v>1</v>
      </c>
      <c r="T14" s="19">
        <f t="shared" ref="T14" si="57">R14*S14</f>
        <v>254</v>
      </c>
      <c r="U14" s="19">
        <v>0.06</v>
      </c>
      <c r="V14" s="19">
        <v>0.97</v>
      </c>
      <c r="W14" s="25"/>
    </row>
    <row r="15" spans="1:23" ht="15.75" x14ac:dyDescent="0.25">
      <c r="A15" s="12">
        <v>9</v>
      </c>
      <c r="B15" s="22" t="s">
        <v>254</v>
      </c>
      <c r="C15" s="19" t="s">
        <v>160</v>
      </c>
      <c r="D15" s="19" t="s">
        <v>124</v>
      </c>
      <c r="E15" s="12">
        <v>117.5</v>
      </c>
      <c r="F15" s="17">
        <f t="shared" ref="F15" si="58">E14</f>
        <v>101.6</v>
      </c>
      <c r="G15" s="19">
        <f t="shared" ref="G15" si="59">E15-F15</f>
        <v>15.900000000000006</v>
      </c>
      <c r="H15" s="17">
        <f t="shared" si="8"/>
        <v>1</v>
      </c>
      <c r="I15" s="19">
        <f t="shared" ref="I15" si="60">G15*H15</f>
        <v>15.900000000000006</v>
      </c>
      <c r="J15" s="12">
        <v>2186.6</v>
      </c>
      <c r="K15" s="17">
        <f t="shared" ref="K15" si="61">J14</f>
        <v>1970</v>
      </c>
      <c r="L15" s="19">
        <f t="shared" ref="L15" si="62">J15-K15</f>
        <v>216.59999999999991</v>
      </c>
      <c r="M15" s="17">
        <f t="shared" si="12"/>
        <v>1</v>
      </c>
      <c r="N15" s="19">
        <f t="shared" ref="N15" si="63">L15*M15</f>
        <v>216.59999999999991</v>
      </c>
      <c r="O15" s="12">
        <v>246.2</v>
      </c>
      <c r="P15" s="12">
        <v>2400</v>
      </c>
      <c r="Q15" s="17">
        <f t="shared" ref="Q15" si="64">P14</f>
        <v>2203</v>
      </c>
      <c r="R15" s="19">
        <f t="shared" ref="R15" si="65">P15-Q15</f>
        <v>197</v>
      </c>
      <c r="S15" s="17">
        <f t="shared" si="16"/>
        <v>1</v>
      </c>
      <c r="T15" s="19">
        <f t="shared" ref="T15" si="66">R15*S15</f>
        <v>197</v>
      </c>
      <c r="U15" s="19">
        <v>0.15</v>
      </c>
      <c r="V15" s="19">
        <v>0.95</v>
      </c>
      <c r="W15" s="25"/>
    </row>
    <row r="16" spans="1:23" ht="15.75" x14ac:dyDescent="0.25">
      <c r="A16" s="12">
        <v>10</v>
      </c>
      <c r="B16" s="22" t="s">
        <v>258</v>
      </c>
      <c r="C16" s="19" t="s">
        <v>160</v>
      </c>
      <c r="D16" s="19" t="s">
        <v>124</v>
      </c>
      <c r="E16" s="12">
        <v>134</v>
      </c>
      <c r="F16" s="17">
        <f t="shared" ref="F16" si="67">E15</f>
        <v>117.5</v>
      </c>
      <c r="G16" s="19">
        <f t="shared" ref="G16" si="68">E16-F16</f>
        <v>16.5</v>
      </c>
      <c r="H16" s="17">
        <f t="shared" si="8"/>
        <v>1</v>
      </c>
      <c r="I16" s="19">
        <f t="shared" ref="I16" si="69">G16*H16</f>
        <v>16.5</v>
      </c>
      <c r="J16" s="12">
        <f>J15+214</f>
        <v>2400.6</v>
      </c>
      <c r="K16" s="17">
        <f t="shared" ref="K16" si="70">J15</f>
        <v>2186.6</v>
      </c>
      <c r="L16" s="19">
        <f t="shared" ref="L16" si="71">J16-K16</f>
        <v>214</v>
      </c>
      <c r="M16" s="17">
        <f t="shared" si="12"/>
        <v>1</v>
      </c>
      <c r="N16" s="19">
        <f t="shared" ref="N16" si="72">L16*M16</f>
        <v>214</v>
      </c>
      <c r="O16" s="12">
        <v>246.2</v>
      </c>
      <c r="P16" s="12">
        <f>P15+227</f>
        <v>2627</v>
      </c>
      <c r="Q16" s="17">
        <f t="shared" ref="Q16" si="73">P15</f>
        <v>2400</v>
      </c>
      <c r="R16" s="19">
        <f t="shared" ref="R16" si="74">P16-Q16</f>
        <v>227</v>
      </c>
      <c r="S16" s="17">
        <f t="shared" si="16"/>
        <v>1</v>
      </c>
      <c r="T16" s="19">
        <f t="shared" ref="T16" si="75">R16*S16</f>
        <v>227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22" t="s">
        <v>121</v>
      </c>
      <c r="I17" s="12">
        <f>SUM(I7:I16)</f>
        <v>133.80000000000001</v>
      </c>
      <c r="J17" s="12"/>
      <c r="K17" s="17"/>
      <c r="L17" s="12"/>
      <c r="M17" s="17"/>
      <c r="N17" s="12">
        <f t="shared" ref="N17:O17" si="76">SUM(N7:N16)</f>
        <v>2399.8999999999996</v>
      </c>
      <c r="O17" s="12">
        <f t="shared" si="76"/>
        <v>2474</v>
      </c>
      <c r="P17" s="12"/>
      <c r="Q17" s="17"/>
      <c r="R17" s="12"/>
      <c r="S17" s="17"/>
      <c r="T17" s="12">
        <f>SUM(T7:T16)</f>
        <v>2439.5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201</v>
      </c>
      <c r="D18" s="19" t="s">
        <v>124</v>
      </c>
      <c r="E18" s="12">
        <v>149</v>
      </c>
      <c r="F18" s="17">
        <f>E16</f>
        <v>134</v>
      </c>
      <c r="G18" s="19">
        <f t="shared" ref="G18" si="77">E18-F18</f>
        <v>15</v>
      </c>
      <c r="H18" s="91">
        <v>1</v>
      </c>
      <c r="I18" s="19">
        <f t="shared" ref="I18" si="78">G18*H18</f>
        <v>15</v>
      </c>
      <c r="J18" s="12">
        <f>J16+212</f>
        <v>2612.6</v>
      </c>
      <c r="K18" s="17">
        <f>J16</f>
        <v>2400.6</v>
      </c>
      <c r="L18" s="19">
        <f t="shared" ref="L18" si="79">J18-K18</f>
        <v>212</v>
      </c>
      <c r="M18" s="17">
        <f>M16</f>
        <v>1</v>
      </c>
      <c r="N18" s="19">
        <f t="shared" ref="N18" si="80">L18*M18</f>
        <v>212</v>
      </c>
      <c r="O18" s="17">
        <f t="shared" ref="O18" si="81">N18-I18</f>
        <v>197</v>
      </c>
      <c r="P18" s="12">
        <f>P16+229</f>
        <v>2856</v>
      </c>
      <c r="Q18" s="17">
        <f>P16</f>
        <v>2627</v>
      </c>
      <c r="R18" s="19">
        <f t="shared" ref="R18" si="82">P18-Q18</f>
        <v>229</v>
      </c>
      <c r="S18" s="17">
        <f>S16</f>
        <v>1</v>
      </c>
      <c r="T18" s="19">
        <f t="shared" ref="T18" si="83">R18*S18</f>
        <v>229</v>
      </c>
      <c r="U18" s="12"/>
      <c r="V18" s="12"/>
      <c r="W18" s="25"/>
    </row>
    <row r="19" spans="1:23" ht="15.75" x14ac:dyDescent="0.25">
      <c r="A19" s="12">
        <v>12</v>
      </c>
      <c r="B19" s="22" t="s">
        <v>263</v>
      </c>
      <c r="C19" s="19" t="s">
        <v>201</v>
      </c>
      <c r="D19" s="19" t="s">
        <v>124</v>
      </c>
      <c r="E19" s="12">
        <v>160.4</v>
      </c>
      <c r="F19" s="17">
        <f t="shared" ref="F19:F24" si="84">E18</f>
        <v>149</v>
      </c>
      <c r="G19" s="19">
        <f t="shared" ref="G19" si="85">E19-F19</f>
        <v>11.400000000000006</v>
      </c>
      <c r="H19" s="91">
        <f t="shared" ref="H19:H59" si="86">H18</f>
        <v>1</v>
      </c>
      <c r="I19" s="19">
        <f t="shared" ref="I19" si="87">G19*H19</f>
        <v>11.400000000000006</v>
      </c>
      <c r="J19" s="12">
        <v>2828.3</v>
      </c>
      <c r="K19" s="17">
        <f t="shared" ref="K19:K24" si="88">J18</f>
        <v>2612.6</v>
      </c>
      <c r="L19" s="19">
        <f t="shared" ref="L19" si="89">J19-K19</f>
        <v>215.70000000000027</v>
      </c>
      <c r="M19" s="17">
        <f t="shared" ref="M19:M59" si="90">M18</f>
        <v>1</v>
      </c>
      <c r="N19" s="19">
        <f t="shared" ref="N19" si="91">L19*M19</f>
        <v>215.70000000000027</v>
      </c>
      <c r="O19" s="17">
        <f t="shared" ref="O19" si="92">N19-I19</f>
        <v>204.30000000000027</v>
      </c>
      <c r="P19" s="12">
        <v>3080.3</v>
      </c>
      <c r="Q19" s="17">
        <f t="shared" ref="Q19:Q24" si="93">P18</f>
        <v>2856</v>
      </c>
      <c r="R19" s="19">
        <f t="shared" ref="R19" si="94">P19-Q19</f>
        <v>224.30000000000018</v>
      </c>
      <c r="S19" s="17">
        <f t="shared" ref="S19:S59" si="95">S18</f>
        <v>1</v>
      </c>
      <c r="T19" s="19">
        <f t="shared" ref="T19" si="96">R19*S19</f>
        <v>224.30000000000018</v>
      </c>
      <c r="U19" s="19">
        <v>1.74</v>
      </c>
      <c r="V19" s="19">
        <v>0.99</v>
      </c>
      <c r="W19" s="25"/>
    </row>
    <row r="20" spans="1:23" ht="15.75" x14ac:dyDescent="0.25">
      <c r="A20" s="12">
        <v>13</v>
      </c>
      <c r="B20" s="22" t="s">
        <v>265</v>
      </c>
      <c r="C20" s="19" t="s">
        <v>201</v>
      </c>
      <c r="D20" s="19" t="s">
        <v>124</v>
      </c>
      <c r="E20" s="12">
        <v>173.3</v>
      </c>
      <c r="F20" s="17">
        <f t="shared" si="84"/>
        <v>160.4</v>
      </c>
      <c r="G20" s="19">
        <f t="shared" ref="G20" si="97">E20-F20</f>
        <v>12.900000000000006</v>
      </c>
      <c r="H20" s="91">
        <f t="shared" si="86"/>
        <v>1</v>
      </c>
      <c r="I20" s="19">
        <f t="shared" ref="I20" si="98">G20*H20</f>
        <v>12.900000000000006</v>
      </c>
      <c r="J20" s="12">
        <v>2978.9</v>
      </c>
      <c r="K20" s="17">
        <f t="shared" si="88"/>
        <v>2828.3</v>
      </c>
      <c r="L20" s="19">
        <f t="shared" ref="L20" si="99">J20-K20</f>
        <v>150.59999999999991</v>
      </c>
      <c r="M20" s="17">
        <f t="shared" si="90"/>
        <v>1</v>
      </c>
      <c r="N20" s="19">
        <f t="shared" ref="N20" si="100">L20*M20</f>
        <v>150.59999999999991</v>
      </c>
      <c r="O20" s="17">
        <f t="shared" ref="O20" si="101">N20-I20</f>
        <v>137.6999999999999</v>
      </c>
      <c r="P20" s="12">
        <v>3233.1</v>
      </c>
      <c r="Q20" s="17">
        <f t="shared" si="93"/>
        <v>3080.3</v>
      </c>
      <c r="R20" s="19">
        <f t="shared" ref="R20" si="102">P20-Q20</f>
        <v>152.79999999999973</v>
      </c>
      <c r="S20" s="17">
        <f t="shared" si="95"/>
        <v>1</v>
      </c>
      <c r="T20" s="19">
        <f t="shared" ref="T20" si="103">R20*S20</f>
        <v>152.79999999999973</v>
      </c>
      <c r="U20" s="19">
        <v>1.74</v>
      </c>
      <c r="V20" s="19">
        <v>0.99</v>
      </c>
      <c r="W20" s="25"/>
    </row>
    <row r="21" spans="1:23" ht="15.75" x14ac:dyDescent="0.25">
      <c r="A21" s="12">
        <v>14</v>
      </c>
      <c r="B21" s="22" t="s">
        <v>266</v>
      </c>
      <c r="C21" s="19" t="s">
        <v>201</v>
      </c>
      <c r="D21" s="19" t="s">
        <v>124</v>
      </c>
      <c r="E21" s="12">
        <v>187.5</v>
      </c>
      <c r="F21" s="17">
        <f t="shared" si="84"/>
        <v>173.3</v>
      </c>
      <c r="G21" s="19">
        <f t="shared" ref="G21" si="104">E21-F21</f>
        <v>14.199999999999989</v>
      </c>
      <c r="H21" s="91">
        <f t="shared" si="86"/>
        <v>1</v>
      </c>
      <c r="I21" s="19">
        <f t="shared" ref="I21" si="105">G21*H21</f>
        <v>14.199999999999989</v>
      </c>
      <c r="J21" s="12">
        <v>3125.6</v>
      </c>
      <c r="K21" s="17">
        <f t="shared" si="88"/>
        <v>2978.9</v>
      </c>
      <c r="L21" s="19">
        <f t="shared" ref="L21" si="106">J21-K21</f>
        <v>146.69999999999982</v>
      </c>
      <c r="M21" s="17">
        <f t="shared" si="90"/>
        <v>1</v>
      </c>
      <c r="N21" s="19">
        <f t="shared" ref="N21" si="107">L21*M21</f>
        <v>146.69999999999982</v>
      </c>
      <c r="O21" s="17">
        <f t="shared" ref="O21" si="108">N21-I21</f>
        <v>132.49999999999983</v>
      </c>
      <c r="P21" s="12">
        <v>3404.3</v>
      </c>
      <c r="Q21" s="17">
        <f t="shared" si="93"/>
        <v>3233.1</v>
      </c>
      <c r="R21" s="19">
        <f t="shared" ref="R21" si="109">P21-Q21</f>
        <v>171.20000000000027</v>
      </c>
      <c r="S21" s="17">
        <f t="shared" si="95"/>
        <v>1</v>
      </c>
      <c r="T21" s="19">
        <f t="shared" ref="T21" si="110">R21*S21</f>
        <v>171.20000000000027</v>
      </c>
      <c r="U21" s="19"/>
      <c r="V21" s="19"/>
      <c r="W21" s="25"/>
    </row>
    <row r="22" spans="1:23" ht="15.75" x14ac:dyDescent="0.25">
      <c r="A22" s="12">
        <v>15</v>
      </c>
      <c r="B22" s="22" t="s">
        <v>267</v>
      </c>
      <c r="C22" s="19" t="s">
        <v>201</v>
      </c>
      <c r="D22" s="19" t="s">
        <v>124</v>
      </c>
      <c r="E22" s="12">
        <v>201.5</v>
      </c>
      <c r="F22" s="17">
        <f t="shared" si="84"/>
        <v>187.5</v>
      </c>
      <c r="G22" s="19">
        <f t="shared" ref="G22" si="111">E22-F22</f>
        <v>14</v>
      </c>
      <c r="H22" s="91">
        <f t="shared" si="86"/>
        <v>1</v>
      </c>
      <c r="I22" s="19">
        <f t="shared" ref="I22" si="112">G22*H22</f>
        <v>14</v>
      </c>
      <c r="J22" s="12">
        <v>3263.7</v>
      </c>
      <c r="K22" s="17">
        <f t="shared" si="88"/>
        <v>3125.6</v>
      </c>
      <c r="L22" s="19">
        <f t="shared" ref="L22" si="113">J22-K22</f>
        <v>138.09999999999991</v>
      </c>
      <c r="M22" s="17">
        <f t="shared" si="90"/>
        <v>1</v>
      </c>
      <c r="N22" s="19">
        <f t="shared" ref="N22" si="114">L22*M22</f>
        <v>138.09999999999991</v>
      </c>
      <c r="O22" s="17">
        <f t="shared" ref="O22" si="115">N22-I22</f>
        <v>124.09999999999991</v>
      </c>
      <c r="P22" s="12">
        <v>3553.3</v>
      </c>
      <c r="Q22" s="17">
        <f t="shared" si="93"/>
        <v>3404.3</v>
      </c>
      <c r="R22" s="19">
        <f t="shared" ref="R22" si="116">P22-Q22</f>
        <v>149</v>
      </c>
      <c r="S22" s="17">
        <f t="shared" si="95"/>
        <v>1</v>
      </c>
      <c r="T22" s="19">
        <f t="shared" ref="T22" si="117">R22*S22</f>
        <v>149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201</v>
      </c>
      <c r="D23" s="19" t="s">
        <v>124</v>
      </c>
      <c r="E23" s="12">
        <v>215.4</v>
      </c>
      <c r="F23" s="17">
        <f t="shared" si="84"/>
        <v>201.5</v>
      </c>
      <c r="G23" s="19">
        <f t="shared" ref="G23" si="118">E23-F23</f>
        <v>13.900000000000006</v>
      </c>
      <c r="H23" s="91">
        <f t="shared" si="86"/>
        <v>1</v>
      </c>
      <c r="I23" s="19">
        <f t="shared" ref="I23" si="119">G23*H23</f>
        <v>13.900000000000006</v>
      </c>
      <c r="J23" s="12">
        <v>3405.2</v>
      </c>
      <c r="K23" s="17">
        <f t="shared" si="88"/>
        <v>3263.7</v>
      </c>
      <c r="L23" s="19">
        <f t="shared" ref="L23" si="120">J23-K23</f>
        <v>141.5</v>
      </c>
      <c r="M23" s="17">
        <f t="shared" si="90"/>
        <v>1</v>
      </c>
      <c r="N23" s="19">
        <f t="shared" ref="N23" si="121">L23*M23</f>
        <v>141.5</v>
      </c>
      <c r="O23" s="17">
        <f t="shared" ref="O23" si="122">N23-I23</f>
        <v>127.6</v>
      </c>
      <c r="P23" s="12">
        <v>3701.9</v>
      </c>
      <c r="Q23" s="17">
        <f t="shared" si="93"/>
        <v>3553.3</v>
      </c>
      <c r="R23" s="19">
        <f t="shared" ref="R23" si="123">P23-Q23</f>
        <v>148.59999999999991</v>
      </c>
      <c r="S23" s="17">
        <f t="shared" si="95"/>
        <v>1</v>
      </c>
      <c r="T23" s="19">
        <f t="shared" ref="T23" si="124">R23*S23</f>
        <v>148.59999999999991</v>
      </c>
      <c r="U23" s="19"/>
      <c r="V23" s="19">
        <v>0.43</v>
      </c>
      <c r="W23" s="25"/>
    </row>
    <row r="24" spans="1:23" ht="15.75" x14ac:dyDescent="0.25">
      <c r="A24" s="12">
        <v>17</v>
      </c>
      <c r="B24" s="22" t="s">
        <v>272</v>
      </c>
      <c r="C24" s="19" t="s">
        <v>201</v>
      </c>
      <c r="D24" s="19" t="s">
        <v>124</v>
      </c>
      <c r="E24" s="12">
        <v>231.6</v>
      </c>
      <c r="F24" s="17">
        <f t="shared" si="84"/>
        <v>215.4</v>
      </c>
      <c r="G24" s="19">
        <f t="shared" ref="G24" si="125">E24-F24</f>
        <v>16.199999999999989</v>
      </c>
      <c r="H24" s="91">
        <f t="shared" si="86"/>
        <v>1</v>
      </c>
      <c r="I24" s="19">
        <f t="shared" ref="I24" si="126">G24*H24</f>
        <v>16.199999999999989</v>
      </c>
      <c r="J24" s="12">
        <v>3548.2</v>
      </c>
      <c r="K24" s="17">
        <f t="shared" si="88"/>
        <v>3405.2</v>
      </c>
      <c r="L24" s="19">
        <f t="shared" ref="L24" si="127">J24-K24</f>
        <v>143</v>
      </c>
      <c r="M24" s="17">
        <f t="shared" si="90"/>
        <v>1</v>
      </c>
      <c r="N24" s="19">
        <f t="shared" ref="N24" si="128">L24*M24</f>
        <v>143</v>
      </c>
      <c r="O24" s="17">
        <f t="shared" ref="O24" si="129">N24-I24</f>
        <v>126.80000000000001</v>
      </c>
      <c r="P24" s="12">
        <v>3864.7</v>
      </c>
      <c r="Q24" s="17">
        <f t="shared" si="93"/>
        <v>3701.9</v>
      </c>
      <c r="R24" s="19">
        <f t="shared" ref="R24" si="130">P24-Q24</f>
        <v>162.79999999999973</v>
      </c>
      <c r="S24" s="17">
        <f t="shared" si="95"/>
        <v>1</v>
      </c>
      <c r="T24" s="19">
        <f t="shared" ref="T24" si="131">R24*S24</f>
        <v>162.79999999999973</v>
      </c>
      <c r="U24" s="19">
        <v>1.57</v>
      </c>
      <c r="V24" s="19">
        <v>0.98</v>
      </c>
      <c r="W24" s="25"/>
    </row>
    <row r="25" spans="1:23" ht="15.75" x14ac:dyDescent="0.25">
      <c r="A25" s="12">
        <v>18</v>
      </c>
      <c r="B25" s="22" t="s">
        <v>274</v>
      </c>
      <c r="C25" s="19" t="s">
        <v>201</v>
      </c>
      <c r="D25" s="19" t="s">
        <v>124</v>
      </c>
      <c r="E25" s="12">
        <v>246</v>
      </c>
      <c r="F25" s="17">
        <f t="shared" ref="F25" si="132">E24</f>
        <v>231.6</v>
      </c>
      <c r="G25" s="19">
        <f t="shared" ref="G25" si="133">E25-F25</f>
        <v>14.400000000000006</v>
      </c>
      <c r="H25" s="91">
        <f t="shared" si="86"/>
        <v>1</v>
      </c>
      <c r="I25" s="19">
        <f t="shared" ref="I25" si="134">G25*H25</f>
        <v>14.400000000000006</v>
      </c>
      <c r="J25" s="12">
        <v>3670.5</v>
      </c>
      <c r="K25" s="17">
        <f t="shared" ref="K25" si="135">J24</f>
        <v>3548.2</v>
      </c>
      <c r="L25" s="19">
        <f t="shared" ref="L25" si="136">J25-K25</f>
        <v>122.30000000000018</v>
      </c>
      <c r="M25" s="17">
        <f t="shared" si="90"/>
        <v>1</v>
      </c>
      <c r="N25" s="19">
        <f t="shared" ref="N25" si="137">L25*M25</f>
        <v>122.30000000000018</v>
      </c>
      <c r="O25" s="17">
        <f t="shared" ref="O25" si="138">N25-I25</f>
        <v>107.90000000000018</v>
      </c>
      <c r="P25" s="12">
        <v>3996.3</v>
      </c>
      <c r="Q25" s="17">
        <f t="shared" ref="Q25" si="139">P24</f>
        <v>3864.7</v>
      </c>
      <c r="R25" s="19">
        <f t="shared" ref="R25" si="140">P25-Q25</f>
        <v>131.60000000000036</v>
      </c>
      <c r="S25" s="17">
        <f t="shared" si="95"/>
        <v>1</v>
      </c>
      <c r="T25" s="19">
        <f t="shared" ref="T25" si="141">R25*S25</f>
        <v>131.60000000000036</v>
      </c>
      <c r="U25" s="19">
        <v>0.4</v>
      </c>
      <c r="V25" s="19">
        <v>0.99</v>
      </c>
      <c r="W25" s="25"/>
    </row>
    <row r="26" spans="1:23" ht="15.75" x14ac:dyDescent="0.25">
      <c r="A26" s="12">
        <v>19</v>
      </c>
      <c r="B26" s="22" t="s">
        <v>276</v>
      </c>
      <c r="C26" s="19" t="s">
        <v>201</v>
      </c>
      <c r="D26" s="19" t="s">
        <v>124</v>
      </c>
      <c r="E26" s="12">
        <v>262.89999999999998</v>
      </c>
      <c r="F26" s="17">
        <f t="shared" ref="F26" si="142">E25</f>
        <v>246</v>
      </c>
      <c r="G26" s="19">
        <f t="shared" ref="G26" si="143">E26-F26</f>
        <v>16.899999999999977</v>
      </c>
      <c r="H26" s="91">
        <f t="shared" si="86"/>
        <v>1</v>
      </c>
      <c r="I26" s="19">
        <f t="shared" ref="I26" si="144">G26*H26</f>
        <v>16.899999999999977</v>
      </c>
      <c r="J26" s="12">
        <v>3789</v>
      </c>
      <c r="K26" s="17">
        <f t="shared" ref="K26" si="145">J25</f>
        <v>3670.5</v>
      </c>
      <c r="L26" s="19">
        <f t="shared" ref="L26" si="146">J26-K26</f>
        <v>118.5</v>
      </c>
      <c r="M26" s="17">
        <f t="shared" si="90"/>
        <v>1</v>
      </c>
      <c r="N26" s="19">
        <f t="shared" ref="N26" si="147">L26*M26</f>
        <v>118.5</v>
      </c>
      <c r="O26" s="17">
        <f t="shared" ref="O26" si="148">N26-I26</f>
        <v>101.60000000000002</v>
      </c>
      <c r="P26" s="12">
        <v>4128.6000000000004</v>
      </c>
      <c r="Q26" s="17">
        <f t="shared" ref="Q26" si="149">P25</f>
        <v>3996.3</v>
      </c>
      <c r="R26" s="19">
        <f t="shared" ref="R26" si="150">P26-Q26</f>
        <v>132.30000000000018</v>
      </c>
      <c r="S26" s="17">
        <f t="shared" si="95"/>
        <v>1</v>
      </c>
      <c r="T26" s="19">
        <f t="shared" ref="T26" si="151">R26*S26</f>
        <v>132.30000000000018</v>
      </c>
      <c r="U26" s="19">
        <v>1.74</v>
      </c>
      <c r="V26" s="19">
        <v>1.37</v>
      </c>
      <c r="W26" s="25"/>
    </row>
    <row r="27" spans="1:23" ht="15.75" x14ac:dyDescent="0.25">
      <c r="A27" s="12">
        <v>20</v>
      </c>
      <c r="B27" s="22" t="s">
        <v>262</v>
      </c>
      <c r="C27" s="19" t="s">
        <v>201</v>
      </c>
      <c r="D27" s="19" t="s">
        <v>124</v>
      </c>
      <c r="E27" s="12">
        <v>278.10000000000002</v>
      </c>
      <c r="F27" s="17">
        <f t="shared" ref="F27" si="152">E26</f>
        <v>262.89999999999998</v>
      </c>
      <c r="G27" s="19">
        <f t="shared" ref="G27" si="153">E27-F27</f>
        <v>15.200000000000045</v>
      </c>
      <c r="H27" s="91">
        <f t="shared" si="86"/>
        <v>1</v>
      </c>
      <c r="I27" s="19">
        <f t="shared" ref="I27" si="154">G27*H27</f>
        <v>15.200000000000045</v>
      </c>
      <c r="J27" s="12">
        <v>3898.9</v>
      </c>
      <c r="K27" s="17">
        <f t="shared" ref="K27" si="155">J26</f>
        <v>3789</v>
      </c>
      <c r="L27" s="19">
        <f t="shared" ref="L27" si="156">J27-K27</f>
        <v>109.90000000000009</v>
      </c>
      <c r="M27" s="17">
        <f t="shared" si="90"/>
        <v>1</v>
      </c>
      <c r="N27" s="19">
        <f t="shared" ref="N27" si="157">L27*M27</f>
        <v>109.90000000000009</v>
      </c>
      <c r="O27" s="17">
        <f t="shared" ref="O27" si="158">N27-I27</f>
        <v>94.700000000000045</v>
      </c>
      <c r="P27" s="12">
        <v>4251.3999999999996</v>
      </c>
      <c r="Q27" s="17">
        <f t="shared" ref="Q27" si="159">P26</f>
        <v>4128.6000000000004</v>
      </c>
      <c r="R27" s="19">
        <f t="shared" ref="R27" si="160">P27-Q27</f>
        <v>122.79999999999927</v>
      </c>
      <c r="S27" s="17">
        <f t="shared" si="95"/>
        <v>1</v>
      </c>
      <c r="T27" s="19">
        <f t="shared" ref="T27" si="161">R27*S27</f>
        <v>122.79999999999927</v>
      </c>
      <c r="U27" s="19">
        <v>0.05</v>
      </c>
      <c r="V27" s="19">
        <v>0.99</v>
      </c>
      <c r="W27" s="25"/>
    </row>
    <row r="28" spans="1:23" ht="15.75" x14ac:dyDescent="0.25">
      <c r="A28" s="12">
        <v>21</v>
      </c>
      <c r="B28" s="22" t="s">
        <v>277</v>
      </c>
      <c r="C28" s="19" t="s">
        <v>201</v>
      </c>
      <c r="D28" s="19" t="s">
        <v>124</v>
      </c>
      <c r="E28" s="12">
        <v>291.60000000000002</v>
      </c>
      <c r="F28" s="17">
        <f t="shared" ref="F28" si="162">E27</f>
        <v>278.10000000000002</v>
      </c>
      <c r="G28" s="19">
        <f t="shared" ref="G28" si="163">E28-F28</f>
        <v>13.5</v>
      </c>
      <c r="H28" s="91">
        <f t="shared" si="86"/>
        <v>1</v>
      </c>
      <c r="I28" s="19">
        <f t="shared" ref="I28" si="164">G28*H28</f>
        <v>13.5</v>
      </c>
      <c r="J28" s="12">
        <v>4020.8</v>
      </c>
      <c r="K28" s="17">
        <f t="shared" ref="K28" si="165">J27</f>
        <v>3898.9</v>
      </c>
      <c r="L28" s="19">
        <f t="shared" ref="L28" si="166">J28-K28</f>
        <v>121.90000000000009</v>
      </c>
      <c r="M28" s="17">
        <f t="shared" si="90"/>
        <v>1</v>
      </c>
      <c r="N28" s="19">
        <f t="shared" ref="N28" si="167">L28*M28</f>
        <v>121.90000000000009</v>
      </c>
      <c r="O28" s="17">
        <f t="shared" ref="O28" si="168">N28-I28</f>
        <v>108.40000000000009</v>
      </c>
      <c r="P28" s="12">
        <v>4384.5</v>
      </c>
      <c r="Q28" s="17">
        <f t="shared" ref="Q28" si="169">P27</f>
        <v>4251.3999999999996</v>
      </c>
      <c r="R28" s="19">
        <f t="shared" ref="R28" si="170">P28-Q28</f>
        <v>133.10000000000036</v>
      </c>
      <c r="S28" s="17">
        <f t="shared" si="95"/>
        <v>1</v>
      </c>
      <c r="T28" s="19">
        <f t="shared" ref="T28" si="171">R28*S28</f>
        <v>133.10000000000036</v>
      </c>
      <c r="U28" s="19">
        <v>1.55</v>
      </c>
      <c r="V28" s="19">
        <v>0.95</v>
      </c>
      <c r="W28" s="25"/>
    </row>
    <row r="29" spans="1:23" ht="15.75" x14ac:dyDescent="0.25">
      <c r="A29" s="12">
        <v>22</v>
      </c>
      <c r="B29" s="22" t="s">
        <v>278</v>
      </c>
      <c r="C29" s="19" t="s">
        <v>201</v>
      </c>
      <c r="D29" s="19" t="s">
        <v>124</v>
      </c>
      <c r="E29" s="12">
        <v>305.10000000000002</v>
      </c>
      <c r="F29" s="17">
        <f t="shared" ref="F29" si="172">E28</f>
        <v>291.60000000000002</v>
      </c>
      <c r="G29" s="19">
        <f t="shared" ref="G29" si="173">E29-F29</f>
        <v>13.5</v>
      </c>
      <c r="H29" s="91">
        <f t="shared" si="86"/>
        <v>1</v>
      </c>
      <c r="I29" s="19">
        <f t="shared" ref="I29" si="174">G29*H29</f>
        <v>13.5</v>
      </c>
      <c r="J29" s="12">
        <v>4138</v>
      </c>
      <c r="K29" s="17">
        <f t="shared" ref="K29" si="175">J28</f>
        <v>4020.8</v>
      </c>
      <c r="L29" s="19">
        <f t="shared" ref="L29" si="176">J29-K29</f>
        <v>117.19999999999982</v>
      </c>
      <c r="M29" s="17">
        <f t="shared" si="90"/>
        <v>1</v>
      </c>
      <c r="N29" s="19">
        <f t="shared" ref="N29" si="177">L29*M29</f>
        <v>117.19999999999982</v>
      </c>
      <c r="O29" s="17">
        <f t="shared" ref="O29" si="178">N29-I29</f>
        <v>103.69999999999982</v>
      </c>
      <c r="P29" s="12">
        <v>4502.6000000000004</v>
      </c>
      <c r="Q29" s="17">
        <f t="shared" ref="Q29" si="179">P28</f>
        <v>4384.5</v>
      </c>
      <c r="R29" s="19">
        <f t="shared" ref="R29" si="180">P29-Q29</f>
        <v>118.10000000000036</v>
      </c>
      <c r="S29" s="17">
        <f t="shared" si="95"/>
        <v>1</v>
      </c>
      <c r="T29" s="19">
        <f t="shared" ref="T29" si="181">R29*S29</f>
        <v>118.10000000000036</v>
      </c>
      <c r="U29" s="19">
        <v>0.3</v>
      </c>
      <c r="V29" s="19">
        <v>0.96</v>
      </c>
      <c r="W29" s="25"/>
    </row>
    <row r="30" spans="1:23" ht="15.75" x14ac:dyDescent="0.25">
      <c r="A30" s="163"/>
      <c r="B30" s="65"/>
      <c r="C30" s="160"/>
      <c r="D30" s="160"/>
      <c r="E30" s="163"/>
      <c r="F30" s="30"/>
      <c r="G30" s="160"/>
      <c r="H30" s="99"/>
      <c r="I30" s="160"/>
      <c r="J30" s="163"/>
      <c r="K30" s="30"/>
      <c r="L30" s="160"/>
      <c r="M30" s="30"/>
      <c r="N30" s="160"/>
      <c r="O30" s="30"/>
      <c r="P30" s="163"/>
      <c r="Q30" s="30"/>
      <c r="R30" s="160"/>
      <c r="S30" s="30"/>
      <c r="T30" s="160"/>
      <c r="U30" s="160"/>
      <c r="V30" s="160"/>
      <c r="W30" s="25"/>
    </row>
    <row r="31" spans="1:23" ht="15.75" x14ac:dyDescent="0.25">
      <c r="A31" s="29">
        <v>23</v>
      </c>
      <c r="B31" s="65" t="s">
        <v>279</v>
      </c>
      <c r="C31" s="28" t="s">
        <v>201</v>
      </c>
      <c r="D31" s="28" t="s">
        <v>124</v>
      </c>
      <c r="E31" s="29">
        <v>320</v>
      </c>
      <c r="F31" s="30">
        <f t="shared" ref="F31" si="182">E29</f>
        <v>305.10000000000002</v>
      </c>
      <c r="G31" s="28">
        <f t="shared" ref="G31" si="183">E31-F31</f>
        <v>14.899999999999977</v>
      </c>
      <c r="H31" s="99">
        <f>H29</f>
        <v>1</v>
      </c>
      <c r="I31" s="28">
        <f t="shared" ref="I31" si="184">G31*H31</f>
        <v>14.899999999999977</v>
      </c>
      <c r="J31" s="29">
        <f>J29+119</f>
        <v>4257</v>
      </c>
      <c r="K31" s="30">
        <f t="shared" ref="K31" si="185">J29</f>
        <v>4138</v>
      </c>
      <c r="L31" s="28">
        <f t="shared" ref="L31" si="186">J31-K31</f>
        <v>119</v>
      </c>
      <c r="M31" s="30">
        <f>M29</f>
        <v>1</v>
      </c>
      <c r="N31" s="28">
        <f t="shared" ref="N31" si="187">L31*M31</f>
        <v>119</v>
      </c>
      <c r="O31" s="30">
        <f t="shared" ref="O31" si="188">N31-I31</f>
        <v>104.10000000000002</v>
      </c>
      <c r="P31" s="29">
        <f>P29+119</f>
        <v>4621.6000000000004</v>
      </c>
      <c r="Q31" s="30">
        <f t="shared" ref="Q31" si="189">P29</f>
        <v>4502.6000000000004</v>
      </c>
      <c r="R31" s="28">
        <f t="shared" ref="R31" si="190">P31-Q31</f>
        <v>119</v>
      </c>
      <c r="S31" s="30">
        <f>S29</f>
        <v>1</v>
      </c>
      <c r="T31" s="28">
        <f t="shared" ref="T31" si="191">R31*S31</f>
        <v>119</v>
      </c>
      <c r="U31" s="28"/>
      <c r="V31" s="28"/>
      <c r="W31" s="25"/>
    </row>
    <row r="32" spans="1:23" ht="15.75" x14ac:dyDescent="0.25">
      <c r="A32" s="12">
        <v>24</v>
      </c>
      <c r="B32" s="22" t="s">
        <v>280</v>
      </c>
      <c r="C32" s="19" t="s">
        <v>201</v>
      </c>
      <c r="D32" s="19" t="s">
        <v>124</v>
      </c>
      <c r="E32" s="12">
        <v>335</v>
      </c>
      <c r="F32" s="17">
        <f t="shared" ref="F32" si="192">E31</f>
        <v>320</v>
      </c>
      <c r="G32" s="19">
        <f t="shared" ref="G32" si="193">E32-F32</f>
        <v>15</v>
      </c>
      <c r="H32" s="91">
        <f t="shared" si="86"/>
        <v>1</v>
      </c>
      <c r="I32" s="19">
        <f t="shared" ref="I32" si="194">G32*H32</f>
        <v>15</v>
      </c>
      <c r="J32" s="12">
        <f>J31+120</f>
        <v>4377</v>
      </c>
      <c r="K32" s="17">
        <f t="shared" ref="K32" si="195">J31</f>
        <v>4257</v>
      </c>
      <c r="L32" s="19">
        <f t="shared" ref="L32" si="196">J32-K32</f>
        <v>120</v>
      </c>
      <c r="M32" s="17">
        <f t="shared" si="90"/>
        <v>1</v>
      </c>
      <c r="N32" s="19">
        <f t="shared" ref="N32" si="197">L32*M32</f>
        <v>120</v>
      </c>
      <c r="O32" s="17">
        <f t="shared" ref="O32:O33" si="198">N32-I32</f>
        <v>105</v>
      </c>
      <c r="P32" s="12">
        <f>P31+120</f>
        <v>4741.6000000000004</v>
      </c>
      <c r="Q32" s="17">
        <f t="shared" ref="Q32" si="199">P31</f>
        <v>4621.6000000000004</v>
      </c>
      <c r="R32" s="19">
        <f t="shared" ref="R32" si="200">P32-Q32</f>
        <v>120</v>
      </c>
      <c r="S32" s="17">
        <f t="shared" si="95"/>
        <v>1</v>
      </c>
      <c r="T32" s="19">
        <f t="shared" ref="T32" si="201">R32*S32</f>
        <v>120</v>
      </c>
      <c r="U32" s="19"/>
      <c r="V32" s="19"/>
      <c r="W32" s="66"/>
    </row>
    <row r="33" spans="1:23" ht="15.75" x14ac:dyDescent="0.25">
      <c r="A33" s="12">
        <v>25</v>
      </c>
      <c r="B33" s="22" t="s">
        <v>281</v>
      </c>
      <c r="C33" s="19" t="s">
        <v>201</v>
      </c>
      <c r="D33" s="19" t="s">
        <v>124</v>
      </c>
      <c r="E33" s="12">
        <v>351.3</v>
      </c>
      <c r="F33" s="17">
        <f t="shared" ref="F33" si="202">E32</f>
        <v>335</v>
      </c>
      <c r="G33" s="19">
        <f t="shared" ref="G33" si="203">E33-F33</f>
        <v>16.300000000000011</v>
      </c>
      <c r="H33" s="91">
        <f t="shared" si="86"/>
        <v>1</v>
      </c>
      <c r="I33" s="19">
        <f t="shared" ref="I33" si="204">G33*H33</f>
        <v>16.300000000000011</v>
      </c>
      <c r="J33" s="12">
        <f>J32+56</f>
        <v>4433</v>
      </c>
      <c r="K33" s="17">
        <f t="shared" ref="K33" si="205">J32</f>
        <v>4377</v>
      </c>
      <c r="L33" s="19">
        <f t="shared" ref="L33" si="206">J33-K33</f>
        <v>56</v>
      </c>
      <c r="M33" s="17">
        <f t="shared" si="90"/>
        <v>1</v>
      </c>
      <c r="N33" s="19">
        <f t="shared" ref="N33" si="207">L33*M33</f>
        <v>56</v>
      </c>
      <c r="O33" s="17">
        <f t="shared" si="198"/>
        <v>39.699999999999989</v>
      </c>
      <c r="P33" s="12">
        <f>P32+78</f>
        <v>4819.6000000000004</v>
      </c>
      <c r="Q33" s="17">
        <f t="shared" ref="Q33" si="208">P32</f>
        <v>4741.6000000000004</v>
      </c>
      <c r="R33" s="19">
        <f t="shared" ref="R33" si="209">P33-Q33</f>
        <v>78</v>
      </c>
      <c r="S33" s="17">
        <f t="shared" si="95"/>
        <v>1</v>
      </c>
      <c r="T33" s="19">
        <f t="shared" ref="T33" si="210">R33*S33</f>
        <v>78</v>
      </c>
      <c r="U33" s="19">
        <v>1.55</v>
      </c>
      <c r="V33" s="19">
        <v>0.63</v>
      </c>
      <c r="W33" s="100"/>
    </row>
    <row r="34" spans="1:23" ht="15.75" x14ac:dyDescent="0.25">
      <c r="A34" s="12">
        <v>26</v>
      </c>
      <c r="B34" s="22" t="s">
        <v>282</v>
      </c>
      <c r="C34" s="19" t="s">
        <v>201</v>
      </c>
      <c r="D34" s="19" t="s">
        <v>124</v>
      </c>
      <c r="E34" s="12">
        <v>367.5</v>
      </c>
      <c r="F34" s="17">
        <f t="shared" ref="F34" si="211">E33</f>
        <v>351.3</v>
      </c>
      <c r="G34" s="19">
        <f t="shared" ref="G34" si="212">E34-F34</f>
        <v>16.199999999999989</v>
      </c>
      <c r="H34" s="91">
        <f t="shared" si="86"/>
        <v>1</v>
      </c>
      <c r="I34" s="19">
        <f t="shared" ref="I34" si="213">G34*H34</f>
        <v>16.199999999999989</v>
      </c>
      <c r="J34" s="12">
        <v>4460.8999999999996</v>
      </c>
      <c r="K34" s="17">
        <f t="shared" ref="K34" si="214">J33</f>
        <v>4433</v>
      </c>
      <c r="L34" s="19">
        <f t="shared" ref="L34" si="215">J34-K34</f>
        <v>27.899999999999636</v>
      </c>
      <c r="M34" s="17">
        <f t="shared" si="90"/>
        <v>1</v>
      </c>
      <c r="N34" s="19">
        <f t="shared" ref="N34" si="216">L34*M34</f>
        <v>27.899999999999636</v>
      </c>
      <c r="O34" s="17">
        <f t="shared" ref="O34" si="217">N34-I34</f>
        <v>11.699999999999648</v>
      </c>
      <c r="P34" s="12">
        <v>4877.1000000000004</v>
      </c>
      <c r="Q34" s="17">
        <f t="shared" ref="Q34" si="218">P33</f>
        <v>4819.6000000000004</v>
      </c>
      <c r="R34" s="19">
        <f t="shared" ref="R34" si="219">P34-Q34</f>
        <v>57.5</v>
      </c>
      <c r="S34" s="17">
        <f t="shared" si="95"/>
        <v>1</v>
      </c>
      <c r="T34" s="19">
        <f t="shared" ref="T34" si="220">R34*S34</f>
        <v>57.5</v>
      </c>
      <c r="U34" s="19"/>
      <c r="V34" s="19">
        <v>0.92</v>
      </c>
      <c r="W34" s="25"/>
    </row>
    <row r="35" spans="1:23" ht="15.75" x14ac:dyDescent="0.25">
      <c r="A35" s="12">
        <v>27</v>
      </c>
      <c r="B35" s="22" t="s">
        <v>283</v>
      </c>
      <c r="C35" s="19" t="s">
        <v>201</v>
      </c>
      <c r="D35" s="19" t="s">
        <v>124</v>
      </c>
      <c r="E35" s="12">
        <v>382.5</v>
      </c>
      <c r="F35" s="17">
        <f t="shared" ref="F35" si="221">E34</f>
        <v>367.5</v>
      </c>
      <c r="G35" s="19">
        <f t="shared" ref="G35" si="222">E35-F35</f>
        <v>15</v>
      </c>
      <c r="H35" s="91">
        <f t="shared" si="86"/>
        <v>1</v>
      </c>
      <c r="I35" s="19">
        <f t="shared" ref="I35" si="223">G35*H35</f>
        <v>15</v>
      </c>
      <c r="J35" s="12">
        <v>4528.5</v>
      </c>
      <c r="K35" s="17">
        <f t="shared" ref="K35" si="224">J34</f>
        <v>4460.8999999999996</v>
      </c>
      <c r="L35" s="19">
        <f t="shared" ref="L35" si="225">J35-K35</f>
        <v>67.600000000000364</v>
      </c>
      <c r="M35" s="17">
        <f t="shared" si="90"/>
        <v>1</v>
      </c>
      <c r="N35" s="19">
        <f t="shared" ref="N35" si="226">L35*M35</f>
        <v>67.600000000000364</v>
      </c>
      <c r="O35" s="17">
        <f t="shared" ref="O35" si="227">N35-I35</f>
        <v>52.600000000000364</v>
      </c>
      <c r="P35" s="12">
        <v>4954.8</v>
      </c>
      <c r="Q35" s="17">
        <f t="shared" ref="Q35" si="228">P34</f>
        <v>4877.1000000000004</v>
      </c>
      <c r="R35" s="19">
        <f t="shared" ref="R35" si="229">P35-Q35</f>
        <v>77.699999999999818</v>
      </c>
      <c r="S35" s="17">
        <f t="shared" si="95"/>
        <v>1</v>
      </c>
      <c r="T35" s="19">
        <f t="shared" ref="T35" si="230">R35*S35</f>
        <v>77.699999999999818</v>
      </c>
      <c r="U35" s="19">
        <v>1.66</v>
      </c>
      <c r="V35" s="19">
        <v>0.98</v>
      </c>
      <c r="W35" s="25"/>
    </row>
    <row r="36" spans="1:23" ht="15.75" x14ac:dyDescent="0.25">
      <c r="A36" s="12">
        <v>28</v>
      </c>
      <c r="B36" s="22" t="s">
        <v>284</v>
      </c>
      <c r="C36" s="19" t="s">
        <v>201</v>
      </c>
      <c r="D36" s="19" t="s">
        <v>124</v>
      </c>
      <c r="E36" s="12">
        <v>397.5</v>
      </c>
      <c r="F36" s="17">
        <f t="shared" ref="F36" si="231">E35</f>
        <v>382.5</v>
      </c>
      <c r="G36" s="19">
        <f t="shared" ref="G36" si="232">E36-F36</f>
        <v>15</v>
      </c>
      <c r="H36" s="91">
        <f t="shared" si="86"/>
        <v>1</v>
      </c>
      <c r="I36" s="19">
        <f t="shared" ref="I36" si="233">G36*H36</f>
        <v>15</v>
      </c>
      <c r="J36" s="12">
        <v>4607.7</v>
      </c>
      <c r="K36" s="17">
        <f t="shared" ref="K36" si="234">J35</f>
        <v>4528.5</v>
      </c>
      <c r="L36" s="19">
        <f t="shared" ref="L36" si="235">J36-K36</f>
        <v>79.199999999999818</v>
      </c>
      <c r="M36" s="17">
        <f t="shared" si="90"/>
        <v>1</v>
      </c>
      <c r="N36" s="19">
        <f t="shared" ref="N36" si="236">L36*M36</f>
        <v>79.199999999999818</v>
      </c>
      <c r="O36" s="17">
        <f t="shared" ref="O36" si="237">N36-I36</f>
        <v>64.199999999999818</v>
      </c>
      <c r="P36" s="12">
        <v>5040.1000000000004</v>
      </c>
      <c r="Q36" s="17">
        <f t="shared" ref="Q36" si="238">P35</f>
        <v>4954.8</v>
      </c>
      <c r="R36" s="19">
        <f t="shared" ref="R36" si="239">P36-Q36</f>
        <v>85.300000000000182</v>
      </c>
      <c r="S36" s="17">
        <f t="shared" si="95"/>
        <v>1</v>
      </c>
      <c r="T36" s="19">
        <f t="shared" ref="T36" si="240">R36*S36</f>
        <v>85.300000000000182</v>
      </c>
      <c r="U36" s="19">
        <v>1.74</v>
      </c>
      <c r="V36" s="19">
        <v>0.93</v>
      </c>
      <c r="W36" s="25"/>
    </row>
    <row r="37" spans="1:23" ht="15.75" x14ac:dyDescent="0.25">
      <c r="A37" s="12">
        <v>29</v>
      </c>
      <c r="B37" s="22" t="s">
        <v>286</v>
      </c>
      <c r="C37" s="19" t="s">
        <v>201</v>
      </c>
      <c r="D37" s="19" t="s">
        <v>124</v>
      </c>
      <c r="E37" s="12">
        <v>412.8</v>
      </c>
      <c r="F37" s="17">
        <f t="shared" ref="F37" si="241">E36</f>
        <v>397.5</v>
      </c>
      <c r="G37" s="19">
        <f t="shared" ref="G37" si="242">E37-F37</f>
        <v>15.300000000000011</v>
      </c>
      <c r="H37" s="91">
        <f t="shared" si="86"/>
        <v>1</v>
      </c>
      <c r="I37" s="19">
        <f t="shared" ref="I37" si="243">G37*H37</f>
        <v>15.300000000000011</v>
      </c>
      <c r="J37" s="12">
        <v>4680.6000000000004</v>
      </c>
      <c r="K37" s="17">
        <f t="shared" ref="K37" si="244">J36</f>
        <v>4607.7</v>
      </c>
      <c r="L37" s="19">
        <f t="shared" ref="L37" si="245">J37-K37</f>
        <v>72.900000000000546</v>
      </c>
      <c r="M37" s="17">
        <f t="shared" si="90"/>
        <v>1</v>
      </c>
      <c r="N37" s="19">
        <f t="shared" ref="N37" si="246">L37*M37</f>
        <v>72.900000000000546</v>
      </c>
      <c r="O37" s="17">
        <f t="shared" ref="O37" si="247">N37-I37</f>
        <v>57.600000000000534</v>
      </c>
      <c r="P37" s="12">
        <v>5135.7</v>
      </c>
      <c r="Q37" s="17">
        <f t="shared" ref="Q37" si="248">P36</f>
        <v>5040.1000000000004</v>
      </c>
      <c r="R37" s="19">
        <f t="shared" ref="R37" si="249">P37-Q37</f>
        <v>95.599999999999454</v>
      </c>
      <c r="S37" s="17">
        <f t="shared" si="95"/>
        <v>1</v>
      </c>
      <c r="T37" s="19">
        <f t="shared" ref="T37" si="250">R37*S37</f>
        <v>95.599999999999454</v>
      </c>
      <c r="U37" s="19">
        <v>0.04</v>
      </c>
      <c r="V37" s="19">
        <v>0.82</v>
      </c>
      <c r="W37" s="25"/>
    </row>
    <row r="38" spans="1:23" ht="15.75" x14ac:dyDescent="0.25">
      <c r="A38" s="12">
        <v>30</v>
      </c>
      <c r="B38" s="22" t="s">
        <v>288</v>
      </c>
      <c r="C38" s="19" t="s">
        <v>201</v>
      </c>
      <c r="D38" s="19" t="s">
        <v>124</v>
      </c>
      <c r="E38" s="12">
        <v>429.1</v>
      </c>
      <c r="F38" s="17">
        <f t="shared" ref="F38" si="251">E37</f>
        <v>412.8</v>
      </c>
      <c r="G38" s="19">
        <f t="shared" ref="G38" si="252">E38-F38</f>
        <v>16.300000000000011</v>
      </c>
      <c r="H38" s="91">
        <f t="shared" si="86"/>
        <v>1</v>
      </c>
      <c r="I38" s="19">
        <f t="shared" ref="I38" si="253">G38*H38</f>
        <v>16.300000000000011</v>
      </c>
      <c r="J38" s="12">
        <v>4743.1000000000004</v>
      </c>
      <c r="K38" s="17">
        <f t="shared" ref="K38" si="254">J37</f>
        <v>4680.6000000000004</v>
      </c>
      <c r="L38" s="19">
        <f t="shared" ref="L38" si="255">J38-K38</f>
        <v>62.5</v>
      </c>
      <c r="M38" s="17">
        <f t="shared" si="90"/>
        <v>1</v>
      </c>
      <c r="N38" s="19">
        <f t="shared" ref="N38" si="256">L38*M38</f>
        <v>62.5</v>
      </c>
      <c r="O38" s="17">
        <f t="shared" ref="O38" si="257">N38-I38</f>
        <v>46.199999999999989</v>
      </c>
      <c r="P38" s="12">
        <v>5193</v>
      </c>
      <c r="Q38" s="17">
        <f t="shared" ref="Q38" si="258">P37</f>
        <v>5135.7</v>
      </c>
      <c r="R38" s="19">
        <f t="shared" ref="R38" si="259">P38-Q38</f>
        <v>57.300000000000182</v>
      </c>
      <c r="S38" s="17">
        <f t="shared" si="95"/>
        <v>1</v>
      </c>
      <c r="T38" s="19">
        <f t="shared" ref="T38" si="260">R38*S38</f>
        <v>57.300000000000182</v>
      </c>
      <c r="U38" s="19">
        <v>1.74</v>
      </c>
      <c r="V38" s="19">
        <v>0.93</v>
      </c>
      <c r="W38" s="25"/>
    </row>
    <row r="39" spans="1:23" ht="15.75" x14ac:dyDescent="0.25">
      <c r="A39" s="12">
        <v>31</v>
      </c>
      <c r="B39" s="22" t="s">
        <v>289</v>
      </c>
      <c r="C39" s="19" t="s">
        <v>201</v>
      </c>
      <c r="D39" s="19" t="s">
        <v>124</v>
      </c>
      <c r="E39" s="12">
        <v>444.6</v>
      </c>
      <c r="F39" s="17">
        <f t="shared" ref="F39" si="261">E38</f>
        <v>429.1</v>
      </c>
      <c r="G39" s="19">
        <f t="shared" ref="G39" si="262">E39-F39</f>
        <v>15.5</v>
      </c>
      <c r="H39" s="91">
        <f t="shared" si="86"/>
        <v>1</v>
      </c>
      <c r="I39" s="19">
        <f t="shared" ref="I39" si="263">G39*H39</f>
        <v>15.5</v>
      </c>
      <c r="J39" s="12">
        <v>4908.5</v>
      </c>
      <c r="K39" s="17">
        <f t="shared" ref="K39" si="264">J38</f>
        <v>4743.1000000000004</v>
      </c>
      <c r="L39" s="19">
        <f t="shared" ref="L39" si="265">J39-K39</f>
        <v>165.39999999999964</v>
      </c>
      <c r="M39" s="17">
        <f t="shared" si="90"/>
        <v>1</v>
      </c>
      <c r="N39" s="19">
        <f t="shared" ref="N39" si="266">L39*M39</f>
        <v>165.39999999999964</v>
      </c>
      <c r="O39" s="17">
        <f t="shared" ref="O39" si="267">N39-I39</f>
        <v>149.89999999999964</v>
      </c>
      <c r="P39" s="12">
        <v>5353.8</v>
      </c>
      <c r="Q39" s="17">
        <f t="shared" ref="Q39" si="268">P38</f>
        <v>5193</v>
      </c>
      <c r="R39" s="19">
        <f t="shared" ref="R39" si="269">P39-Q39</f>
        <v>160.80000000000018</v>
      </c>
      <c r="S39" s="17">
        <f t="shared" si="95"/>
        <v>1</v>
      </c>
      <c r="T39" s="19">
        <f t="shared" ref="T39" si="270">R39*S39</f>
        <v>160.80000000000018</v>
      </c>
      <c r="U39" s="19">
        <v>1.55</v>
      </c>
      <c r="V39" s="19">
        <v>0.93</v>
      </c>
      <c r="W39" s="25"/>
    </row>
    <row r="40" spans="1:23" ht="15.75" x14ac:dyDescent="0.25">
      <c r="A40" s="12">
        <v>32</v>
      </c>
      <c r="B40" s="22" t="s">
        <v>290</v>
      </c>
      <c r="C40" s="19" t="s">
        <v>201</v>
      </c>
      <c r="D40" s="19" t="s">
        <v>124</v>
      </c>
      <c r="E40" s="12">
        <v>460</v>
      </c>
      <c r="F40" s="17">
        <f t="shared" ref="F40" si="271">E39</f>
        <v>444.6</v>
      </c>
      <c r="G40" s="19">
        <f t="shared" ref="G40" si="272">E40-F40</f>
        <v>15.399999999999977</v>
      </c>
      <c r="H40" s="91">
        <f t="shared" si="86"/>
        <v>1</v>
      </c>
      <c r="I40" s="19">
        <f t="shared" ref="I40" si="273">G40*H40</f>
        <v>15.399999999999977</v>
      </c>
      <c r="J40" s="12">
        <v>5073.6000000000004</v>
      </c>
      <c r="K40" s="17">
        <f t="shared" ref="K40" si="274">J39</f>
        <v>4908.5</v>
      </c>
      <c r="L40" s="19">
        <f t="shared" ref="L40" si="275">J40-K40</f>
        <v>165.10000000000036</v>
      </c>
      <c r="M40" s="17">
        <f t="shared" si="90"/>
        <v>1</v>
      </c>
      <c r="N40" s="19">
        <f t="shared" ref="N40" si="276">L40*M40</f>
        <v>165.10000000000036</v>
      </c>
      <c r="O40" s="17">
        <f t="shared" ref="O40" si="277">N40-I40</f>
        <v>149.70000000000039</v>
      </c>
      <c r="P40" s="12">
        <v>5518.4</v>
      </c>
      <c r="Q40" s="17">
        <f t="shared" ref="Q40" si="278">P39</f>
        <v>5353.8</v>
      </c>
      <c r="R40" s="19">
        <f t="shared" ref="R40" si="279">P40-Q40</f>
        <v>164.59999999999945</v>
      </c>
      <c r="S40" s="17">
        <f t="shared" si="95"/>
        <v>1</v>
      </c>
      <c r="T40" s="19">
        <f t="shared" ref="T40" si="280">R40*S40</f>
        <v>164.59999999999945</v>
      </c>
      <c r="U40" s="19">
        <v>1.74</v>
      </c>
      <c r="V40" s="19">
        <v>0.99</v>
      </c>
      <c r="W40" s="25"/>
    </row>
    <row r="41" spans="1:23" ht="15.75" x14ac:dyDescent="0.25">
      <c r="A41" s="12">
        <v>33</v>
      </c>
      <c r="B41" s="22" t="s">
        <v>291</v>
      </c>
      <c r="C41" s="19" t="s">
        <v>201</v>
      </c>
      <c r="D41" s="19" t="s">
        <v>124</v>
      </c>
      <c r="E41" s="12">
        <v>472.6</v>
      </c>
      <c r="F41" s="17">
        <f t="shared" ref="F41:F48" si="281">E40</f>
        <v>460</v>
      </c>
      <c r="G41" s="19">
        <f t="shared" ref="G41:G48" si="282">E41-F41</f>
        <v>12.600000000000023</v>
      </c>
      <c r="H41" s="91">
        <f t="shared" si="86"/>
        <v>1</v>
      </c>
      <c r="I41" s="19">
        <f t="shared" ref="I41:I48" si="283">G41*H41</f>
        <v>12.600000000000023</v>
      </c>
      <c r="J41" s="12">
        <v>5240.3</v>
      </c>
      <c r="K41" s="17">
        <f t="shared" ref="K41:K48" si="284">J40</f>
        <v>5073.6000000000004</v>
      </c>
      <c r="L41" s="19">
        <f t="shared" ref="L41:L48" si="285">J41-K41</f>
        <v>166.69999999999982</v>
      </c>
      <c r="M41" s="17">
        <f t="shared" si="90"/>
        <v>1</v>
      </c>
      <c r="N41" s="19">
        <f t="shared" ref="N41:N48" si="286">L41*M41</f>
        <v>166.69999999999982</v>
      </c>
      <c r="O41" s="17">
        <f t="shared" ref="O41:O48" si="287">N41-I41</f>
        <v>154.0999999999998</v>
      </c>
      <c r="P41" s="12">
        <v>5696.9</v>
      </c>
      <c r="Q41" s="17">
        <f t="shared" ref="Q41:Q48" si="288">P40</f>
        <v>5518.4</v>
      </c>
      <c r="R41" s="19">
        <f t="shared" ref="R41:R48" si="289">P41-Q41</f>
        <v>178.5</v>
      </c>
      <c r="S41" s="17">
        <f t="shared" si="95"/>
        <v>1</v>
      </c>
      <c r="T41" s="19">
        <f t="shared" ref="T41:T48" si="290">R41*S41</f>
        <v>178.5</v>
      </c>
      <c r="U41" s="19">
        <v>1.04</v>
      </c>
      <c r="V41" s="19">
        <v>0.99</v>
      </c>
      <c r="W41" s="25"/>
    </row>
    <row r="42" spans="1:23" ht="15.75" x14ac:dyDescent="0.25">
      <c r="A42" s="12">
        <v>34</v>
      </c>
      <c r="B42" s="22" t="s">
        <v>292</v>
      </c>
      <c r="C42" s="19" t="s">
        <v>201</v>
      </c>
      <c r="D42" s="19" t="s">
        <v>124</v>
      </c>
      <c r="E42" s="12">
        <v>486.1</v>
      </c>
      <c r="F42" s="17">
        <f t="shared" si="281"/>
        <v>472.6</v>
      </c>
      <c r="G42" s="19">
        <f t="shared" si="282"/>
        <v>13.5</v>
      </c>
      <c r="H42" s="91">
        <f t="shared" si="86"/>
        <v>1</v>
      </c>
      <c r="I42" s="19">
        <f t="shared" si="283"/>
        <v>13.5</v>
      </c>
      <c r="J42" s="12">
        <v>5427.9</v>
      </c>
      <c r="K42" s="17">
        <f t="shared" si="284"/>
        <v>5240.3</v>
      </c>
      <c r="L42" s="19">
        <f t="shared" si="285"/>
        <v>187.59999999999945</v>
      </c>
      <c r="M42" s="17">
        <f t="shared" si="90"/>
        <v>1</v>
      </c>
      <c r="N42" s="19">
        <f t="shared" si="286"/>
        <v>187.59999999999945</v>
      </c>
      <c r="O42" s="17">
        <f t="shared" si="287"/>
        <v>174.09999999999945</v>
      </c>
      <c r="P42" s="12">
        <v>5885.3</v>
      </c>
      <c r="Q42" s="17">
        <f t="shared" si="288"/>
        <v>5696.9</v>
      </c>
      <c r="R42" s="19">
        <f t="shared" si="289"/>
        <v>188.40000000000055</v>
      </c>
      <c r="S42" s="17">
        <f t="shared" si="95"/>
        <v>1</v>
      </c>
      <c r="T42" s="19">
        <f t="shared" si="290"/>
        <v>188.40000000000055</v>
      </c>
      <c r="U42" s="19">
        <v>0.04</v>
      </c>
      <c r="V42" s="19">
        <v>0.95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201</v>
      </c>
      <c r="D44" s="19" t="s">
        <v>124</v>
      </c>
      <c r="E44" s="12">
        <v>491</v>
      </c>
      <c r="F44" s="17">
        <f>E42</f>
        <v>486.1</v>
      </c>
      <c r="G44" s="19">
        <f t="shared" si="282"/>
        <v>4.8999999999999773</v>
      </c>
      <c r="H44" s="91">
        <f>H42</f>
        <v>1</v>
      </c>
      <c r="I44" s="19">
        <f t="shared" si="283"/>
        <v>4.8999999999999773</v>
      </c>
      <c r="J44" s="12">
        <f>J42+174</f>
        <v>5601.9</v>
      </c>
      <c r="K44" s="17">
        <f>J42</f>
        <v>5427.9</v>
      </c>
      <c r="L44" s="19">
        <f t="shared" si="285"/>
        <v>174</v>
      </c>
      <c r="M44" s="17">
        <f>M42</f>
        <v>1</v>
      </c>
      <c r="N44" s="19">
        <f t="shared" si="286"/>
        <v>174</v>
      </c>
      <c r="O44" s="17">
        <f t="shared" si="287"/>
        <v>169.10000000000002</v>
      </c>
      <c r="P44" s="12">
        <f>P42+174</f>
        <v>6059.3</v>
      </c>
      <c r="Q44" s="17">
        <f>P42</f>
        <v>5885.3</v>
      </c>
      <c r="R44" s="19">
        <f t="shared" si="289"/>
        <v>174</v>
      </c>
      <c r="S44" s="17">
        <f>S42</f>
        <v>1</v>
      </c>
      <c r="T44" s="19">
        <f t="shared" si="290"/>
        <v>174</v>
      </c>
      <c r="U44" s="19">
        <v>0.04</v>
      </c>
      <c r="V44" s="19">
        <v>0.95</v>
      </c>
      <c r="W44" s="25"/>
    </row>
    <row r="45" spans="1:23" ht="15.75" x14ac:dyDescent="0.25">
      <c r="A45" s="12">
        <v>36</v>
      </c>
      <c r="B45" s="22" t="s">
        <v>294</v>
      </c>
      <c r="C45" s="19" t="s">
        <v>201</v>
      </c>
      <c r="D45" s="19" t="s">
        <v>124</v>
      </c>
      <c r="E45" s="12">
        <v>514</v>
      </c>
      <c r="F45" s="17">
        <f t="shared" si="281"/>
        <v>491</v>
      </c>
      <c r="G45" s="19">
        <f t="shared" si="282"/>
        <v>23</v>
      </c>
      <c r="H45" s="91">
        <f t="shared" si="86"/>
        <v>1</v>
      </c>
      <c r="I45" s="19">
        <f t="shared" si="283"/>
        <v>23</v>
      </c>
      <c r="J45" s="12">
        <v>5817.9</v>
      </c>
      <c r="K45" s="17">
        <f t="shared" si="284"/>
        <v>5601.9</v>
      </c>
      <c r="L45" s="19">
        <f t="shared" si="285"/>
        <v>216</v>
      </c>
      <c r="M45" s="17">
        <f t="shared" si="90"/>
        <v>1</v>
      </c>
      <c r="N45" s="19">
        <f t="shared" si="286"/>
        <v>216</v>
      </c>
      <c r="O45" s="17">
        <f t="shared" si="287"/>
        <v>193</v>
      </c>
      <c r="P45" s="12">
        <v>6288.1</v>
      </c>
      <c r="Q45" s="17">
        <f t="shared" si="288"/>
        <v>6059.3</v>
      </c>
      <c r="R45" s="19">
        <f t="shared" si="289"/>
        <v>228.80000000000018</v>
      </c>
      <c r="S45" s="17">
        <f t="shared" si="95"/>
        <v>1</v>
      </c>
      <c r="T45" s="19">
        <f t="shared" si="290"/>
        <v>228.80000000000018</v>
      </c>
      <c r="U45" s="19">
        <v>0.05</v>
      </c>
      <c r="V45" s="19">
        <v>0.93</v>
      </c>
      <c r="W45" s="25"/>
    </row>
    <row r="46" spans="1:23" ht="15.75" x14ac:dyDescent="0.25">
      <c r="A46" s="12">
        <v>37</v>
      </c>
      <c r="B46" s="22" t="s">
        <v>295</v>
      </c>
      <c r="C46" s="19" t="s">
        <v>201</v>
      </c>
      <c r="D46" s="19" t="s">
        <v>124</v>
      </c>
      <c r="E46" s="12">
        <v>527.1</v>
      </c>
      <c r="F46" s="17">
        <f t="shared" si="281"/>
        <v>514</v>
      </c>
      <c r="G46" s="19">
        <f t="shared" si="282"/>
        <v>13.100000000000023</v>
      </c>
      <c r="H46" s="91">
        <f t="shared" si="86"/>
        <v>1</v>
      </c>
      <c r="I46" s="19">
        <f t="shared" si="283"/>
        <v>13.100000000000023</v>
      </c>
      <c r="J46" s="12">
        <v>6001.4</v>
      </c>
      <c r="K46" s="17">
        <f t="shared" si="284"/>
        <v>5817.9</v>
      </c>
      <c r="L46" s="19">
        <f t="shared" si="285"/>
        <v>183.5</v>
      </c>
      <c r="M46" s="17">
        <f t="shared" si="90"/>
        <v>1</v>
      </c>
      <c r="N46" s="19">
        <f t="shared" si="286"/>
        <v>183.5</v>
      </c>
      <c r="O46" s="17">
        <f t="shared" si="287"/>
        <v>170.39999999999998</v>
      </c>
      <c r="P46" s="12">
        <v>6482.9</v>
      </c>
      <c r="Q46" s="17">
        <f t="shared" si="288"/>
        <v>6288.1</v>
      </c>
      <c r="R46" s="19">
        <f t="shared" si="289"/>
        <v>194.79999999999927</v>
      </c>
      <c r="S46" s="17">
        <f t="shared" si="95"/>
        <v>1</v>
      </c>
      <c r="T46" s="19">
        <f t="shared" si="290"/>
        <v>194.79999999999927</v>
      </c>
      <c r="U46" s="19">
        <v>0.05</v>
      </c>
      <c r="V46" s="19">
        <v>0.96</v>
      </c>
      <c r="W46" s="25"/>
    </row>
    <row r="47" spans="1:23" ht="15.75" x14ac:dyDescent="0.25">
      <c r="A47" s="12">
        <v>38</v>
      </c>
      <c r="B47" s="22" t="s">
        <v>296</v>
      </c>
      <c r="C47" s="19" t="s">
        <v>201</v>
      </c>
      <c r="D47" s="19" t="s">
        <v>124</v>
      </c>
      <c r="E47" s="12">
        <v>544.6</v>
      </c>
      <c r="F47" s="17">
        <f t="shared" si="281"/>
        <v>527.1</v>
      </c>
      <c r="G47" s="19">
        <f t="shared" si="282"/>
        <v>17.5</v>
      </c>
      <c r="H47" s="91">
        <f t="shared" si="86"/>
        <v>1</v>
      </c>
      <c r="I47" s="19">
        <f t="shared" si="283"/>
        <v>17.5</v>
      </c>
      <c r="J47" s="12">
        <v>6158.3</v>
      </c>
      <c r="K47" s="17">
        <f t="shared" si="284"/>
        <v>6001.4</v>
      </c>
      <c r="L47" s="19">
        <f t="shared" si="285"/>
        <v>156.90000000000055</v>
      </c>
      <c r="M47" s="17">
        <f t="shared" si="90"/>
        <v>1</v>
      </c>
      <c r="N47" s="19">
        <f t="shared" si="286"/>
        <v>156.90000000000055</v>
      </c>
      <c r="O47" s="17">
        <f t="shared" si="287"/>
        <v>139.40000000000055</v>
      </c>
      <c r="P47" s="12">
        <v>6639.8</v>
      </c>
      <c r="Q47" s="17">
        <f t="shared" si="288"/>
        <v>6482.9</v>
      </c>
      <c r="R47" s="19">
        <f t="shared" si="289"/>
        <v>156.90000000000055</v>
      </c>
      <c r="S47" s="17">
        <f t="shared" si="95"/>
        <v>1</v>
      </c>
      <c r="T47" s="19">
        <f t="shared" si="290"/>
        <v>156.90000000000055</v>
      </c>
      <c r="U47" s="19">
        <v>1.74</v>
      </c>
      <c r="V47" s="19">
        <v>0.98</v>
      </c>
      <c r="W47" s="25"/>
    </row>
    <row r="48" spans="1:23" ht="15.75" x14ac:dyDescent="0.25">
      <c r="A48" s="12">
        <v>39</v>
      </c>
      <c r="B48" s="22" t="s">
        <v>297</v>
      </c>
      <c r="C48" s="19" t="s">
        <v>201</v>
      </c>
      <c r="D48" s="19" t="s">
        <v>124</v>
      </c>
      <c r="E48" s="12">
        <v>557.6</v>
      </c>
      <c r="F48" s="17">
        <f t="shared" si="281"/>
        <v>544.6</v>
      </c>
      <c r="G48" s="19">
        <f t="shared" si="282"/>
        <v>13</v>
      </c>
      <c r="H48" s="91">
        <f t="shared" si="86"/>
        <v>1</v>
      </c>
      <c r="I48" s="19">
        <f t="shared" si="283"/>
        <v>13</v>
      </c>
      <c r="J48" s="12">
        <v>6232</v>
      </c>
      <c r="K48" s="17">
        <f t="shared" si="284"/>
        <v>6158.3</v>
      </c>
      <c r="L48" s="19">
        <f t="shared" si="285"/>
        <v>73.699999999999818</v>
      </c>
      <c r="M48" s="17">
        <f t="shared" si="90"/>
        <v>1</v>
      </c>
      <c r="N48" s="19">
        <f t="shared" si="286"/>
        <v>73.699999999999818</v>
      </c>
      <c r="O48" s="17">
        <f t="shared" si="287"/>
        <v>60.699999999999818</v>
      </c>
      <c r="P48" s="12">
        <v>6814.6</v>
      </c>
      <c r="Q48" s="17">
        <f t="shared" si="288"/>
        <v>6639.8</v>
      </c>
      <c r="R48" s="19">
        <f t="shared" si="289"/>
        <v>174.80000000000018</v>
      </c>
      <c r="S48" s="17">
        <f t="shared" si="95"/>
        <v>1</v>
      </c>
      <c r="T48" s="19">
        <f t="shared" si="290"/>
        <v>174.80000000000018</v>
      </c>
      <c r="U48" s="19">
        <v>0.06</v>
      </c>
      <c r="V48" s="19">
        <v>0.99</v>
      </c>
      <c r="W48" s="25"/>
    </row>
    <row r="49" spans="1:23" ht="15.75" x14ac:dyDescent="0.25">
      <c r="A49" s="12">
        <v>40</v>
      </c>
      <c r="B49" s="22" t="s">
        <v>297</v>
      </c>
      <c r="C49" s="19" t="s">
        <v>201</v>
      </c>
      <c r="D49" s="19" t="s">
        <v>124</v>
      </c>
      <c r="E49" s="12">
        <v>569.6</v>
      </c>
      <c r="F49" s="17">
        <f t="shared" ref="F49" si="291">E48</f>
        <v>557.6</v>
      </c>
      <c r="G49" s="19">
        <f t="shared" ref="G49" si="292">E49-F49</f>
        <v>12</v>
      </c>
      <c r="H49" s="91">
        <f t="shared" si="86"/>
        <v>1</v>
      </c>
      <c r="I49" s="19">
        <f t="shared" ref="I49" si="293">G49*H49</f>
        <v>12</v>
      </c>
      <c r="J49" s="12">
        <v>6382</v>
      </c>
      <c r="K49" s="17">
        <f t="shared" ref="K49" si="294">J48</f>
        <v>6232</v>
      </c>
      <c r="L49" s="19">
        <f t="shared" ref="L49" si="295">J49-K49</f>
        <v>150</v>
      </c>
      <c r="M49" s="17">
        <f t="shared" si="90"/>
        <v>1</v>
      </c>
      <c r="N49" s="19">
        <f t="shared" ref="N49" si="296">L49*M49</f>
        <v>150</v>
      </c>
      <c r="O49" s="17">
        <f t="shared" ref="O49" si="297">N49-I49</f>
        <v>138</v>
      </c>
      <c r="P49" s="12">
        <v>6979.6</v>
      </c>
      <c r="Q49" s="17">
        <f t="shared" ref="Q49" si="298">P48</f>
        <v>6814.6</v>
      </c>
      <c r="R49" s="19">
        <f t="shared" ref="R49" si="299">P49-Q49</f>
        <v>165</v>
      </c>
      <c r="S49" s="17">
        <f t="shared" si="95"/>
        <v>1</v>
      </c>
      <c r="T49" s="19">
        <f t="shared" ref="T49" si="300">R49*S49</f>
        <v>165</v>
      </c>
      <c r="U49" s="19">
        <v>0.2</v>
      </c>
      <c r="V49" s="19">
        <v>0.99</v>
      </c>
      <c r="W49" s="25"/>
    </row>
    <row r="50" spans="1:23" ht="15.75" x14ac:dyDescent="0.25">
      <c r="A50" s="12">
        <v>41</v>
      </c>
      <c r="B50" s="22" t="s">
        <v>299</v>
      </c>
      <c r="C50" s="19" t="s">
        <v>201</v>
      </c>
      <c r="D50" s="19" t="s">
        <v>124</v>
      </c>
      <c r="E50" s="12">
        <v>586</v>
      </c>
      <c r="F50" s="17">
        <f t="shared" ref="F50" si="301">E49</f>
        <v>569.6</v>
      </c>
      <c r="G50" s="19">
        <f t="shared" ref="G50" si="302">E50-F50</f>
        <v>16.399999999999977</v>
      </c>
      <c r="H50" s="91">
        <f t="shared" si="86"/>
        <v>1</v>
      </c>
      <c r="I50" s="19">
        <f t="shared" ref="I50" si="303">G50*H50</f>
        <v>16.399999999999977</v>
      </c>
      <c r="J50" s="12">
        <v>6641</v>
      </c>
      <c r="K50" s="17">
        <f t="shared" ref="K50" si="304">J49</f>
        <v>6382</v>
      </c>
      <c r="L50" s="19">
        <f t="shared" ref="L50" si="305">J50-K50</f>
        <v>259</v>
      </c>
      <c r="M50" s="17">
        <f t="shared" si="90"/>
        <v>1</v>
      </c>
      <c r="N50" s="19">
        <f t="shared" ref="N50" si="306">L50*M50</f>
        <v>259</v>
      </c>
      <c r="O50" s="17">
        <f t="shared" ref="O50" si="307">N50-I50</f>
        <v>242.60000000000002</v>
      </c>
      <c r="P50" s="12">
        <v>7228.3</v>
      </c>
      <c r="Q50" s="17">
        <f t="shared" ref="Q50" si="308">P49</f>
        <v>6979.6</v>
      </c>
      <c r="R50" s="19">
        <f t="shared" ref="R50" si="309">P50-Q50</f>
        <v>248.69999999999982</v>
      </c>
      <c r="S50" s="17">
        <f t="shared" si="95"/>
        <v>1</v>
      </c>
      <c r="T50" s="19">
        <f t="shared" ref="T50" si="310">R50*S50</f>
        <v>248.69999999999982</v>
      </c>
      <c r="U50" s="19">
        <v>0.5</v>
      </c>
      <c r="V50" s="19">
        <v>0.9</v>
      </c>
      <c r="W50" s="25"/>
    </row>
    <row r="51" spans="1:23" ht="15.75" x14ac:dyDescent="0.25">
      <c r="A51" s="12">
        <v>42</v>
      </c>
      <c r="B51" s="22" t="s">
        <v>300</v>
      </c>
      <c r="C51" s="19" t="s">
        <v>201</v>
      </c>
      <c r="D51" s="19" t="s">
        <v>124</v>
      </c>
      <c r="E51" s="12">
        <v>600.6</v>
      </c>
      <c r="F51" s="17">
        <f t="shared" ref="F51:F54" si="311">E50</f>
        <v>586</v>
      </c>
      <c r="G51" s="19">
        <f t="shared" ref="G51:G54" si="312">E51-F51</f>
        <v>14.600000000000023</v>
      </c>
      <c r="H51" s="91">
        <f t="shared" si="86"/>
        <v>1</v>
      </c>
      <c r="I51" s="19">
        <f t="shared" ref="I51:I54" si="313">G51*H51</f>
        <v>14.600000000000023</v>
      </c>
      <c r="J51" s="12">
        <v>6924.7</v>
      </c>
      <c r="K51" s="17">
        <f t="shared" ref="K51:K54" si="314">J50</f>
        <v>6641</v>
      </c>
      <c r="L51" s="19">
        <f t="shared" ref="L51:L54" si="315">J51-K51</f>
        <v>283.69999999999982</v>
      </c>
      <c r="M51" s="17">
        <f t="shared" si="90"/>
        <v>1</v>
      </c>
      <c r="N51" s="19">
        <f t="shared" ref="N51:N54" si="316">L51*M51</f>
        <v>283.69999999999982</v>
      </c>
      <c r="O51" s="17">
        <f t="shared" ref="O51:O54" si="317">N51-I51</f>
        <v>269.0999999999998</v>
      </c>
      <c r="P51" s="12">
        <v>7399.9</v>
      </c>
      <c r="Q51" s="17">
        <f t="shared" ref="Q51:Q54" si="318">P50</f>
        <v>7228.3</v>
      </c>
      <c r="R51" s="19">
        <f t="shared" ref="R51:R54" si="319">P51-Q51</f>
        <v>171.59999999999945</v>
      </c>
      <c r="S51" s="17">
        <f t="shared" si="95"/>
        <v>1</v>
      </c>
      <c r="T51" s="19">
        <f t="shared" ref="T51:T54" si="320">R51*S51</f>
        <v>171.59999999999945</v>
      </c>
      <c r="U51" s="19">
        <v>0.5</v>
      </c>
      <c r="V51" s="19">
        <v>0.89</v>
      </c>
      <c r="W51" s="25"/>
    </row>
    <row r="52" spans="1:23" ht="15.75" x14ac:dyDescent="0.25">
      <c r="A52" s="12">
        <v>43</v>
      </c>
      <c r="B52" s="22" t="s">
        <v>301</v>
      </c>
      <c r="C52" s="19" t="s">
        <v>201</v>
      </c>
      <c r="D52" s="19" t="s">
        <v>124</v>
      </c>
      <c r="E52" s="12">
        <v>614.79999999999995</v>
      </c>
      <c r="F52" s="17">
        <f t="shared" si="311"/>
        <v>600.6</v>
      </c>
      <c r="G52" s="19">
        <f t="shared" si="312"/>
        <v>14.199999999999932</v>
      </c>
      <c r="H52" s="91">
        <f t="shared" si="86"/>
        <v>1</v>
      </c>
      <c r="I52" s="19">
        <f t="shared" si="313"/>
        <v>14.199999999999932</v>
      </c>
      <c r="J52" s="12">
        <v>7107.5</v>
      </c>
      <c r="K52" s="17">
        <f t="shared" si="314"/>
        <v>6924.7</v>
      </c>
      <c r="L52" s="19">
        <f t="shared" si="315"/>
        <v>182.80000000000018</v>
      </c>
      <c r="M52" s="17">
        <f t="shared" si="90"/>
        <v>1</v>
      </c>
      <c r="N52" s="19">
        <f t="shared" si="316"/>
        <v>182.80000000000018</v>
      </c>
      <c r="O52" s="17">
        <f t="shared" si="317"/>
        <v>168.60000000000025</v>
      </c>
      <c r="P52" s="12">
        <v>7582.3</v>
      </c>
      <c r="Q52" s="17">
        <f t="shared" si="318"/>
        <v>7399.9</v>
      </c>
      <c r="R52" s="19">
        <f t="shared" si="319"/>
        <v>182.40000000000055</v>
      </c>
      <c r="S52" s="17">
        <f t="shared" si="95"/>
        <v>1</v>
      </c>
      <c r="T52" s="19">
        <f t="shared" si="320"/>
        <v>182.40000000000055</v>
      </c>
      <c r="U52" s="19">
        <v>0.5</v>
      </c>
      <c r="V52" s="19">
        <v>0.9</v>
      </c>
      <c r="W52" s="25"/>
    </row>
    <row r="53" spans="1:23" ht="15.75" x14ac:dyDescent="0.25">
      <c r="A53" s="12">
        <v>44</v>
      </c>
      <c r="B53" s="22" t="s">
        <v>302</v>
      </c>
      <c r="C53" s="19" t="s">
        <v>201</v>
      </c>
      <c r="D53" s="19" t="s">
        <v>124</v>
      </c>
      <c r="E53" s="12">
        <v>628.6</v>
      </c>
      <c r="F53" s="17">
        <f t="shared" si="311"/>
        <v>614.79999999999995</v>
      </c>
      <c r="G53" s="19">
        <f t="shared" si="312"/>
        <v>13.800000000000068</v>
      </c>
      <c r="H53" s="91">
        <f t="shared" si="86"/>
        <v>1</v>
      </c>
      <c r="I53" s="19">
        <f t="shared" si="313"/>
        <v>13.800000000000068</v>
      </c>
      <c r="J53" s="12">
        <v>7313.3</v>
      </c>
      <c r="K53" s="17">
        <f t="shared" si="314"/>
        <v>7107.5</v>
      </c>
      <c r="L53" s="19">
        <f t="shared" si="315"/>
        <v>205.80000000000018</v>
      </c>
      <c r="M53" s="17">
        <f t="shared" si="90"/>
        <v>1</v>
      </c>
      <c r="N53" s="19">
        <f t="shared" si="316"/>
        <v>205.80000000000018</v>
      </c>
      <c r="O53" s="17">
        <f t="shared" si="317"/>
        <v>192.00000000000011</v>
      </c>
      <c r="P53" s="12">
        <v>7781.4</v>
      </c>
      <c r="Q53" s="17">
        <f t="shared" si="318"/>
        <v>7582.3</v>
      </c>
      <c r="R53" s="19">
        <f t="shared" si="319"/>
        <v>199.09999999999945</v>
      </c>
      <c r="S53" s="17">
        <f t="shared" si="95"/>
        <v>1</v>
      </c>
      <c r="T53" s="19">
        <f t="shared" si="320"/>
        <v>199.09999999999945</v>
      </c>
      <c r="U53" s="19">
        <v>0.5</v>
      </c>
      <c r="V53" s="19">
        <v>0.99</v>
      </c>
      <c r="W53" s="25"/>
    </row>
    <row r="54" spans="1:23" ht="15.75" x14ac:dyDescent="0.25">
      <c r="A54" s="120">
        <v>45</v>
      </c>
      <c r="B54" s="22" t="s">
        <v>303</v>
      </c>
      <c r="C54" s="118" t="s">
        <v>201</v>
      </c>
      <c r="D54" s="118" t="s">
        <v>124</v>
      </c>
      <c r="E54" s="120">
        <v>640.6</v>
      </c>
      <c r="F54" s="119">
        <f t="shared" si="311"/>
        <v>628.6</v>
      </c>
      <c r="G54" s="118">
        <f t="shared" si="312"/>
        <v>12</v>
      </c>
      <c r="H54" s="91">
        <f t="shared" si="86"/>
        <v>1</v>
      </c>
      <c r="I54" s="118">
        <f t="shared" si="313"/>
        <v>12</v>
      </c>
      <c r="J54" s="120">
        <v>7518.1</v>
      </c>
      <c r="K54" s="119">
        <f t="shared" si="314"/>
        <v>7313.3</v>
      </c>
      <c r="L54" s="118">
        <f t="shared" si="315"/>
        <v>204.80000000000018</v>
      </c>
      <c r="M54" s="119">
        <f t="shared" si="90"/>
        <v>1</v>
      </c>
      <c r="N54" s="118">
        <f t="shared" si="316"/>
        <v>204.80000000000018</v>
      </c>
      <c r="O54" s="119">
        <f t="shared" si="317"/>
        <v>192.80000000000018</v>
      </c>
      <c r="P54" s="120">
        <v>7997.6</v>
      </c>
      <c r="Q54" s="119">
        <f t="shared" si="318"/>
        <v>7781.4</v>
      </c>
      <c r="R54" s="118">
        <f t="shared" si="319"/>
        <v>216.20000000000073</v>
      </c>
      <c r="S54" s="119">
        <f t="shared" si="95"/>
        <v>1</v>
      </c>
      <c r="T54" s="118">
        <f t="shared" si="320"/>
        <v>216.20000000000073</v>
      </c>
      <c r="U54" s="118">
        <v>0.4</v>
      </c>
      <c r="V54" s="118">
        <v>0.99</v>
      </c>
      <c r="W54" s="25"/>
    </row>
    <row r="55" spans="1:23" ht="15.75" x14ac:dyDescent="0.25">
      <c r="A55" s="120">
        <v>46</v>
      </c>
      <c r="B55" s="116" t="s">
        <v>305</v>
      </c>
      <c r="C55" s="118" t="s">
        <v>201</v>
      </c>
      <c r="D55" s="118" t="s">
        <v>124</v>
      </c>
      <c r="E55" s="120">
        <v>653.4</v>
      </c>
      <c r="F55" s="119">
        <f t="shared" ref="F55" si="321">E54</f>
        <v>640.6</v>
      </c>
      <c r="G55" s="118">
        <f t="shared" ref="G55" si="322">E55-F55</f>
        <v>12.799999999999955</v>
      </c>
      <c r="H55" s="91">
        <f t="shared" si="86"/>
        <v>1</v>
      </c>
      <c r="I55" s="118">
        <f t="shared" ref="I55" si="323">G55*H55</f>
        <v>12.799999999999955</v>
      </c>
      <c r="J55" s="120">
        <v>7726.2</v>
      </c>
      <c r="K55" s="119">
        <f t="shared" ref="K55" si="324">J54</f>
        <v>7518.1</v>
      </c>
      <c r="L55" s="118">
        <f t="shared" ref="L55" si="325">J55-K55</f>
        <v>208.09999999999945</v>
      </c>
      <c r="M55" s="119">
        <f t="shared" si="90"/>
        <v>1</v>
      </c>
      <c r="N55" s="118">
        <f t="shared" ref="N55" si="326">L55*M55</f>
        <v>208.09999999999945</v>
      </c>
      <c r="O55" s="119">
        <f t="shared" ref="O55" si="327">N55-I55</f>
        <v>195.2999999999995</v>
      </c>
      <c r="P55" s="120">
        <v>8219.5</v>
      </c>
      <c r="Q55" s="119">
        <f t="shared" ref="Q55" si="328">P54</f>
        <v>7997.6</v>
      </c>
      <c r="R55" s="118">
        <f t="shared" ref="R55" si="329">P55-Q55</f>
        <v>221.89999999999964</v>
      </c>
      <c r="S55" s="119">
        <f t="shared" si="95"/>
        <v>1</v>
      </c>
      <c r="T55" s="118">
        <f t="shared" ref="T55" si="330">R55*S55</f>
        <v>221.89999999999964</v>
      </c>
      <c r="U55" s="118">
        <v>0.04</v>
      </c>
      <c r="V55" s="118">
        <v>0.99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201</v>
      </c>
      <c r="D57" s="123" t="s">
        <v>124</v>
      </c>
      <c r="E57" s="125">
        <f>E55+10.1</f>
        <v>663.5</v>
      </c>
      <c r="F57" s="124">
        <f t="shared" ref="F57" si="331">E55</f>
        <v>653.4</v>
      </c>
      <c r="G57" s="123">
        <f t="shared" ref="G57" si="332">E57-F57</f>
        <v>10.100000000000023</v>
      </c>
      <c r="H57" s="91">
        <f>H55</f>
        <v>1</v>
      </c>
      <c r="I57" s="123">
        <f t="shared" ref="I57" si="333">G57*H57</f>
        <v>10.100000000000023</v>
      </c>
      <c r="J57" s="125">
        <f>J55+201</f>
        <v>7927.2</v>
      </c>
      <c r="K57" s="124">
        <f t="shared" ref="K57" si="334">J55</f>
        <v>7726.2</v>
      </c>
      <c r="L57" s="123">
        <f t="shared" ref="L57" si="335">J57-K57</f>
        <v>201</v>
      </c>
      <c r="M57" s="124">
        <f>M55</f>
        <v>1</v>
      </c>
      <c r="N57" s="123">
        <f t="shared" ref="N57" si="336">L57*M57</f>
        <v>201</v>
      </c>
      <c r="O57" s="124">
        <f t="shared" ref="O57" si="337">N57-I57</f>
        <v>190.89999999999998</v>
      </c>
      <c r="P57" s="125">
        <f>P55+214</f>
        <v>8433.5</v>
      </c>
      <c r="Q57" s="124">
        <f t="shared" ref="Q57" si="338">P55</f>
        <v>8219.5</v>
      </c>
      <c r="R57" s="123">
        <f t="shared" ref="R57" si="339">P57-Q57</f>
        <v>214</v>
      </c>
      <c r="S57" s="124">
        <f>S55</f>
        <v>1</v>
      </c>
      <c r="T57" s="123">
        <f t="shared" ref="T57" si="340">R57*S57</f>
        <v>214</v>
      </c>
      <c r="U57" s="123">
        <v>0.2</v>
      </c>
      <c r="V57" s="123">
        <v>0.98</v>
      </c>
      <c r="W57" s="25"/>
    </row>
    <row r="58" spans="1:23" ht="15.75" x14ac:dyDescent="0.25">
      <c r="A58" s="126">
        <v>48</v>
      </c>
      <c r="B58" s="116" t="s">
        <v>307</v>
      </c>
      <c r="C58" s="129" t="s">
        <v>201</v>
      </c>
      <c r="D58" s="129" t="s">
        <v>124</v>
      </c>
      <c r="E58" s="126">
        <v>679.9</v>
      </c>
      <c r="F58" s="127">
        <f t="shared" ref="F58" si="341">E57</f>
        <v>663.5</v>
      </c>
      <c r="G58" s="129">
        <f t="shared" ref="G58" si="342">E58-F58</f>
        <v>16.399999999999977</v>
      </c>
      <c r="H58" s="91">
        <f t="shared" si="86"/>
        <v>1</v>
      </c>
      <c r="I58" s="129">
        <f t="shared" ref="I58" si="343">G58*H58</f>
        <v>16.399999999999977</v>
      </c>
      <c r="J58" s="126">
        <v>8149.6</v>
      </c>
      <c r="K58" s="127">
        <f t="shared" ref="K58" si="344">J57</f>
        <v>7927.2</v>
      </c>
      <c r="L58" s="129">
        <f t="shared" ref="L58" si="345">J58-K58</f>
        <v>222.40000000000055</v>
      </c>
      <c r="M58" s="127">
        <f t="shared" si="90"/>
        <v>1</v>
      </c>
      <c r="N58" s="129">
        <f t="shared" ref="N58" si="346">L58*M58</f>
        <v>222.40000000000055</v>
      </c>
      <c r="O58" s="127">
        <f t="shared" ref="O58" si="347">N58-I58</f>
        <v>206.00000000000057</v>
      </c>
      <c r="P58" s="126">
        <v>8650.5</v>
      </c>
      <c r="Q58" s="127">
        <f t="shared" ref="Q58" si="348">P57</f>
        <v>8433.5</v>
      </c>
      <c r="R58" s="129">
        <f t="shared" ref="R58" si="349">P58-Q58</f>
        <v>217</v>
      </c>
      <c r="S58" s="127">
        <f t="shared" si="95"/>
        <v>1</v>
      </c>
      <c r="T58" s="129">
        <f t="shared" ref="T58" si="350">R58*S58</f>
        <v>217</v>
      </c>
      <c r="U58" s="129">
        <v>1.78</v>
      </c>
      <c r="V58" s="129">
        <v>0.98</v>
      </c>
      <c r="W58" s="25"/>
    </row>
    <row r="59" spans="1:23" ht="15.75" x14ac:dyDescent="0.25">
      <c r="A59" s="135">
        <v>49</v>
      </c>
      <c r="B59" s="116" t="s">
        <v>309</v>
      </c>
      <c r="C59" s="138" t="s">
        <v>201</v>
      </c>
      <c r="D59" s="138" t="s">
        <v>124</v>
      </c>
      <c r="E59" s="135">
        <v>693.9</v>
      </c>
      <c r="F59" s="136">
        <f t="shared" ref="F59" si="351">E58</f>
        <v>679.9</v>
      </c>
      <c r="G59" s="138">
        <f t="shared" ref="G59:G61" si="352">E59-F59</f>
        <v>14</v>
      </c>
      <c r="H59" s="91">
        <f t="shared" si="86"/>
        <v>1</v>
      </c>
      <c r="I59" s="138">
        <f t="shared" ref="I59:I61" si="353">G59*H59</f>
        <v>14</v>
      </c>
      <c r="J59" s="135">
        <v>8350.5</v>
      </c>
      <c r="K59" s="136">
        <f t="shared" ref="K59" si="354">J58</f>
        <v>8149.6</v>
      </c>
      <c r="L59" s="138">
        <f t="shared" ref="L59:L61" si="355">J59-K59</f>
        <v>200.89999999999964</v>
      </c>
      <c r="M59" s="136">
        <f t="shared" si="90"/>
        <v>1</v>
      </c>
      <c r="N59" s="138">
        <f t="shared" ref="N59:N61" si="356">L59*M59</f>
        <v>200.89999999999964</v>
      </c>
      <c r="O59" s="136">
        <f t="shared" ref="O59:O61" si="357">N59-I59</f>
        <v>186.89999999999964</v>
      </c>
      <c r="P59" s="135">
        <v>8855</v>
      </c>
      <c r="Q59" s="136">
        <f t="shared" ref="Q59" si="358">P58</f>
        <v>8650.5</v>
      </c>
      <c r="R59" s="138">
        <f t="shared" ref="R59:R61" si="359">P59-Q59</f>
        <v>204.5</v>
      </c>
      <c r="S59" s="136">
        <f t="shared" si="95"/>
        <v>1</v>
      </c>
      <c r="T59" s="138">
        <f t="shared" ref="T59:T61" si="360">R59*S59</f>
        <v>204.5</v>
      </c>
      <c r="U59" s="138">
        <v>1.59</v>
      </c>
      <c r="V59" s="138">
        <v>0.95</v>
      </c>
      <c r="W59" s="25"/>
    </row>
    <row r="60" spans="1:23" ht="15.75" x14ac:dyDescent="0.25">
      <c r="A60" s="146">
        <v>50</v>
      </c>
      <c r="B60" s="116" t="s">
        <v>310</v>
      </c>
      <c r="C60" s="144" t="s">
        <v>201</v>
      </c>
      <c r="D60" s="144" t="s">
        <v>124</v>
      </c>
      <c r="E60" s="146">
        <v>707.7</v>
      </c>
      <c r="F60" s="145">
        <f t="shared" ref="F60" si="361">E58</f>
        <v>679.9</v>
      </c>
      <c r="G60" s="144">
        <f t="shared" si="352"/>
        <v>27.800000000000068</v>
      </c>
      <c r="H60" s="91">
        <f>H58</f>
        <v>1</v>
      </c>
      <c r="I60" s="144">
        <f t="shared" si="353"/>
        <v>27.800000000000068</v>
      </c>
      <c r="J60" s="146">
        <v>8500.2999999999993</v>
      </c>
      <c r="K60" s="145">
        <f t="shared" ref="K60" si="362">J58</f>
        <v>8149.6</v>
      </c>
      <c r="L60" s="144">
        <f t="shared" si="355"/>
        <v>350.69999999999891</v>
      </c>
      <c r="M60" s="145">
        <f>M58</f>
        <v>1</v>
      </c>
      <c r="N60" s="144">
        <f t="shared" si="356"/>
        <v>350.69999999999891</v>
      </c>
      <c r="O60" s="145">
        <f t="shared" si="357"/>
        <v>322.89999999999884</v>
      </c>
      <c r="P60" s="146">
        <v>9239</v>
      </c>
      <c r="Q60" s="145">
        <f t="shared" ref="Q60" si="363">P58</f>
        <v>8650.5</v>
      </c>
      <c r="R60" s="144">
        <f t="shared" si="359"/>
        <v>588.5</v>
      </c>
      <c r="S60" s="145">
        <f>S58</f>
        <v>1</v>
      </c>
      <c r="T60" s="144">
        <f t="shared" si="360"/>
        <v>588.5</v>
      </c>
      <c r="U60" s="144">
        <v>0.05</v>
      </c>
      <c r="V60" s="144">
        <v>0.92</v>
      </c>
      <c r="W60" s="25"/>
    </row>
    <row r="61" spans="1:23" ht="15.75" x14ac:dyDescent="0.25">
      <c r="A61" s="151">
        <v>51</v>
      </c>
      <c r="B61" s="116" t="s">
        <v>316</v>
      </c>
      <c r="C61" s="149" t="s">
        <v>201</v>
      </c>
      <c r="D61" s="149" t="s">
        <v>124</v>
      </c>
      <c r="E61" s="151">
        <v>724.1</v>
      </c>
      <c r="F61" s="150">
        <v>707.7</v>
      </c>
      <c r="G61" s="149">
        <f t="shared" si="352"/>
        <v>16.399999999999977</v>
      </c>
      <c r="H61" s="91">
        <f>H58</f>
        <v>1</v>
      </c>
      <c r="I61" s="149">
        <f t="shared" si="353"/>
        <v>16.399999999999977</v>
      </c>
      <c r="J61" s="151">
        <v>8722.1</v>
      </c>
      <c r="K61" s="150">
        <v>8500.2999999999993</v>
      </c>
      <c r="L61" s="149">
        <f t="shared" si="355"/>
        <v>221.80000000000109</v>
      </c>
      <c r="M61" s="150">
        <f>M58</f>
        <v>1</v>
      </c>
      <c r="N61" s="149">
        <f t="shared" si="356"/>
        <v>221.80000000000109</v>
      </c>
      <c r="O61" s="150">
        <f t="shared" si="357"/>
        <v>205.40000000000111</v>
      </c>
      <c r="P61" s="151">
        <v>9249.2999999999993</v>
      </c>
      <c r="Q61" s="150">
        <v>9239</v>
      </c>
      <c r="R61" s="149">
        <f t="shared" si="359"/>
        <v>10.299999999999272</v>
      </c>
      <c r="S61" s="150">
        <f>S58</f>
        <v>1</v>
      </c>
      <c r="T61" s="149">
        <f t="shared" si="360"/>
        <v>10.299999999999272</v>
      </c>
      <c r="U61" s="149">
        <v>1.74</v>
      </c>
      <c r="V61" s="149">
        <v>0.92</v>
      </c>
      <c r="W61" s="25"/>
    </row>
    <row r="62" spans="1:23" ht="15.75" x14ac:dyDescent="0.25">
      <c r="A62" s="155">
        <v>52</v>
      </c>
      <c r="B62" s="116" t="s">
        <v>319</v>
      </c>
      <c r="C62" s="142" t="s">
        <v>201</v>
      </c>
      <c r="D62" s="142" t="s">
        <v>124</v>
      </c>
      <c r="E62" s="139">
        <v>737.6</v>
      </c>
      <c r="F62" s="140">
        <v>724.1</v>
      </c>
      <c r="G62" s="142">
        <f t="shared" ref="G62:G64" si="364">E62-F62</f>
        <v>13.5</v>
      </c>
      <c r="H62" s="91">
        <f>H59</f>
        <v>1</v>
      </c>
      <c r="I62" s="142">
        <f t="shared" ref="I62:I64" si="365">G62*H62</f>
        <v>13.5</v>
      </c>
      <c r="J62" s="139">
        <v>8917.2999999999993</v>
      </c>
      <c r="K62" s="140">
        <v>8722.1</v>
      </c>
      <c r="L62" s="142">
        <f t="shared" ref="L62:L64" si="366">J62-K62</f>
        <v>195.19999999999891</v>
      </c>
      <c r="M62" s="140">
        <f>M59</f>
        <v>1</v>
      </c>
      <c r="N62" s="142">
        <f t="shared" ref="N62:N64" si="367">L62*M62</f>
        <v>195.19999999999891</v>
      </c>
      <c r="O62" s="140">
        <f t="shared" ref="O62:O64" si="368">N62-I62</f>
        <v>181.69999999999891</v>
      </c>
      <c r="P62" s="139">
        <v>9249.2999999999993</v>
      </c>
      <c r="Q62" s="140">
        <v>9249.2999999999993</v>
      </c>
      <c r="R62" s="142" t="s">
        <v>317</v>
      </c>
      <c r="S62" s="140">
        <f>S59</f>
        <v>1</v>
      </c>
      <c r="T62" s="142" t="s">
        <v>317</v>
      </c>
      <c r="U62" s="142">
        <v>1.74</v>
      </c>
      <c r="V62" s="142">
        <v>0.92</v>
      </c>
      <c r="W62" s="25"/>
    </row>
    <row r="63" spans="1:23" ht="15.75" x14ac:dyDescent="0.25">
      <c r="A63" s="170">
        <v>53</v>
      </c>
      <c r="B63" s="116" t="s">
        <v>321</v>
      </c>
      <c r="C63" s="168" t="s">
        <v>201</v>
      </c>
      <c r="D63" s="168" t="s">
        <v>124</v>
      </c>
      <c r="E63" s="170">
        <v>752.7</v>
      </c>
      <c r="F63" s="170">
        <v>737.6</v>
      </c>
      <c r="G63" s="168">
        <f t="shared" si="364"/>
        <v>15.100000000000023</v>
      </c>
      <c r="H63" s="91">
        <f>H59</f>
        <v>1</v>
      </c>
      <c r="I63" s="168">
        <f t="shared" si="365"/>
        <v>15.100000000000023</v>
      </c>
      <c r="J63" s="170">
        <v>9114.6</v>
      </c>
      <c r="K63" s="170">
        <v>8917.2999999999993</v>
      </c>
      <c r="L63" s="168">
        <f t="shared" si="366"/>
        <v>197.30000000000109</v>
      </c>
      <c r="M63" s="169">
        <f>M59</f>
        <v>1</v>
      </c>
      <c r="N63" s="168">
        <f t="shared" si="367"/>
        <v>197.30000000000109</v>
      </c>
      <c r="O63" s="169">
        <f t="shared" si="368"/>
        <v>182.20000000000107</v>
      </c>
      <c r="P63" s="170">
        <v>9249.2999999999993</v>
      </c>
      <c r="Q63" s="170">
        <v>9249.2999999999993</v>
      </c>
      <c r="R63" s="168" t="s">
        <v>317</v>
      </c>
      <c r="S63" s="169">
        <f>S59</f>
        <v>1</v>
      </c>
      <c r="T63" s="168" t="s">
        <v>317</v>
      </c>
      <c r="U63" s="168">
        <v>1.74</v>
      </c>
      <c r="V63" s="168">
        <v>0.99</v>
      </c>
      <c r="W63" s="25"/>
    </row>
    <row r="64" spans="1:23" ht="15.75" x14ac:dyDescent="0.25">
      <c r="A64" s="175">
        <v>53</v>
      </c>
      <c r="B64" s="116" t="s">
        <v>327</v>
      </c>
      <c r="C64" s="178" t="s">
        <v>201</v>
      </c>
      <c r="D64" s="178" t="s">
        <v>124</v>
      </c>
      <c r="E64" s="175">
        <v>766.8</v>
      </c>
      <c r="F64" s="175">
        <v>752.7</v>
      </c>
      <c r="G64" s="178">
        <f t="shared" si="364"/>
        <v>14.099999999999909</v>
      </c>
      <c r="H64" s="91">
        <f>H59</f>
        <v>1</v>
      </c>
      <c r="I64" s="178">
        <f t="shared" si="365"/>
        <v>14.099999999999909</v>
      </c>
      <c r="J64" s="175">
        <v>9287.5</v>
      </c>
      <c r="K64" s="175">
        <v>9114.6</v>
      </c>
      <c r="L64" s="178">
        <f t="shared" si="366"/>
        <v>172.89999999999964</v>
      </c>
      <c r="M64" s="176">
        <f>M59</f>
        <v>1</v>
      </c>
      <c r="N64" s="178">
        <f t="shared" si="367"/>
        <v>172.89999999999964</v>
      </c>
      <c r="O64" s="176">
        <f t="shared" si="368"/>
        <v>158.79999999999973</v>
      </c>
      <c r="P64" s="175">
        <v>9249.2999999999993</v>
      </c>
      <c r="Q64" s="175">
        <v>9249.2999999999993</v>
      </c>
      <c r="R64" s="178" t="s">
        <v>317</v>
      </c>
      <c r="S64" s="176">
        <f>S59</f>
        <v>1</v>
      </c>
      <c r="T64" s="178" t="s">
        <v>317</v>
      </c>
      <c r="U64" s="178">
        <v>0.04</v>
      </c>
      <c r="V64" s="178">
        <v>0.95</v>
      </c>
      <c r="W64" s="25"/>
    </row>
    <row r="65" spans="1:23" ht="15.75" x14ac:dyDescent="0.25">
      <c r="A65" s="155">
        <v>53</v>
      </c>
      <c r="B65" s="116" t="s">
        <v>330</v>
      </c>
      <c r="C65" s="158" t="s">
        <v>201</v>
      </c>
      <c r="D65" s="158" t="s">
        <v>124</v>
      </c>
      <c r="E65" s="155">
        <v>783.3</v>
      </c>
      <c r="F65" s="175">
        <v>766.8</v>
      </c>
      <c r="G65" s="158">
        <f t="shared" ref="G65:G66" si="369">E65-F65</f>
        <v>16.5</v>
      </c>
      <c r="H65" s="91">
        <f>H60</f>
        <v>1</v>
      </c>
      <c r="I65" s="158">
        <f t="shared" ref="I65:I66" si="370">G65*H65</f>
        <v>16.5</v>
      </c>
      <c r="J65" s="155">
        <v>9452.1</v>
      </c>
      <c r="K65" s="175">
        <v>9287.5</v>
      </c>
      <c r="L65" s="158">
        <f t="shared" ref="L65:L66" si="371">J65-K65</f>
        <v>164.60000000000036</v>
      </c>
      <c r="M65" s="156">
        <f>M60</f>
        <v>1</v>
      </c>
      <c r="N65" s="158">
        <f t="shared" ref="N65:N66" si="372">L65*M65</f>
        <v>164.60000000000036</v>
      </c>
      <c r="O65" s="156">
        <f t="shared" ref="O65:O66" si="373">N65-I65</f>
        <v>148.10000000000036</v>
      </c>
      <c r="P65" s="155">
        <v>9249.2999999999993</v>
      </c>
      <c r="Q65" s="175">
        <v>9249.2999999999993</v>
      </c>
      <c r="R65" s="158" t="s">
        <v>317</v>
      </c>
      <c r="S65" s="156">
        <f>S60</f>
        <v>1</v>
      </c>
      <c r="T65" s="158" t="s">
        <v>317</v>
      </c>
      <c r="U65" s="158">
        <v>0.04</v>
      </c>
      <c r="V65" s="158">
        <v>0.95</v>
      </c>
      <c r="W65" s="25"/>
    </row>
    <row r="66" spans="1:23" ht="15.75" x14ac:dyDescent="0.25">
      <c r="A66" s="183">
        <v>53</v>
      </c>
      <c r="B66" s="116" t="s">
        <v>331</v>
      </c>
      <c r="C66" s="186" t="s">
        <v>201</v>
      </c>
      <c r="D66" s="186" t="s">
        <v>124</v>
      </c>
      <c r="E66" s="183">
        <v>792.6</v>
      </c>
      <c r="F66" s="183">
        <v>783.3</v>
      </c>
      <c r="G66" s="186">
        <f t="shared" si="369"/>
        <v>9.3000000000000682</v>
      </c>
      <c r="H66" s="91">
        <f>H60</f>
        <v>1</v>
      </c>
      <c r="I66" s="186">
        <f t="shared" si="370"/>
        <v>9.3000000000000682</v>
      </c>
      <c r="J66" s="183">
        <v>9632.4</v>
      </c>
      <c r="K66" s="183">
        <v>9452.1</v>
      </c>
      <c r="L66" s="186">
        <f t="shared" si="371"/>
        <v>180.29999999999927</v>
      </c>
      <c r="M66" s="184">
        <f>M60</f>
        <v>1</v>
      </c>
      <c r="N66" s="186">
        <f t="shared" si="372"/>
        <v>180.29999999999927</v>
      </c>
      <c r="O66" s="184">
        <f t="shared" si="373"/>
        <v>170.9999999999992</v>
      </c>
      <c r="P66" s="183">
        <v>9249.2999999999993</v>
      </c>
      <c r="Q66" s="183">
        <v>9249.2999999999993</v>
      </c>
      <c r="R66" s="186" t="s">
        <v>317</v>
      </c>
      <c r="S66" s="184">
        <f>S60</f>
        <v>1</v>
      </c>
      <c r="T66" s="186" t="s">
        <v>317</v>
      </c>
      <c r="U66" s="186">
        <v>0.04</v>
      </c>
      <c r="V66" s="186">
        <v>0.95</v>
      </c>
      <c r="W66" s="25"/>
    </row>
    <row r="67" spans="1:23" ht="15.75" x14ac:dyDescent="0.25">
      <c r="A67" s="182">
        <v>53</v>
      </c>
      <c r="B67" s="116" t="s">
        <v>332</v>
      </c>
      <c r="C67" s="180" t="s">
        <v>201</v>
      </c>
      <c r="D67" s="180" t="s">
        <v>124</v>
      </c>
      <c r="E67" s="182">
        <v>813</v>
      </c>
      <c r="F67" s="182">
        <v>792.6</v>
      </c>
      <c r="G67" s="180">
        <f t="shared" ref="G67" si="374">E67-F67</f>
        <v>20.399999999999977</v>
      </c>
      <c r="H67" s="91">
        <f>H61</f>
        <v>1</v>
      </c>
      <c r="I67" s="180">
        <f t="shared" ref="I67" si="375">G67*H67</f>
        <v>20.399999999999977</v>
      </c>
      <c r="J67" s="182">
        <v>9813.5</v>
      </c>
      <c r="K67" s="182">
        <v>9632.4</v>
      </c>
      <c r="L67" s="180">
        <f t="shared" ref="L67" si="376">J67-K67</f>
        <v>181.10000000000036</v>
      </c>
      <c r="M67" s="181">
        <f>M61</f>
        <v>1</v>
      </c>
      <c r="N67" s="180">
        <f t="shared" ref="N67" si="377">L67*M67</f>
        <v>181.10000000000036</v>
      </c>
      <c r="O67" s="181">
        <f t="shared" ref="O67" si="378">N67-I67</f>
        <v>160.70000000000039</v>
      </c>
      <c r="P67" s="182">
        <v>9249.2999999999993</v>
      </c>
      <c r="Q67" s="182">
        <v>9249.2999999999993</v>
      </c>
      <c r="R67" s="180" t="s">
        <v>317</v>
      </c>
      <c r="S67" s="181">
        <f>S61</f>
        <v>1</v>
      </c>
      <c r="T67" s="180" t="s">
        <v>317</v>
      </c>
      <c r="U67" s="180">
        <v>0.04</v>
      </c>
      <c r="V67" s="180">
        <v>0.95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4"/>
      <c r="H68" s="22" t="s">
        <v>121</v>
      </c>
      <c r="I68" s="164">
        <f>SUM(I57:I65)</f>
        <v>143.89999999999998</v>
      </c>
      <c r="J68" s="164"/>
      <c r="K68" s="162"/>
      <c r="L68" s="164"/>
      <c r="M68" s="162"/>
      <c r="N68" s="164">
        <f>SUM(N57:N65)</f>
        <v>1926.8000000000002</v>
      </c>
      <c r="O68" s="164">
        <f>SUM(O57:O65)</f>
        <v>1782.9</v>
      </c>
      <c r="P68" s="164"/>
      <c r="Q68" s="162"/>
      <c r="R68" s="164"/>
      <c r="S68" s="162"/>
      <c r="T68" s="164">
        <f>SUM(T57:T65)</f>
        <v>1234.2999999999993</v>
      </c>
      <c r="U68" s="164"/>
      <c r="V68" s="164"/>
      <c r="W68" s="31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92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92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1">
        <v>1</v>
      </c>
      <c r="B71" s="31" t="s">
        <v>23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37"/>
      <c r="Q71" s="38"/>
      <c r="R71" s="24"/>
      <c r="S71" s="38"/>
      <c r="T71" s="24"/>
      <c r="U71" s="25"/>
      <c r="V71" s="25"/>
      <c r="W71" s="25"/>
    </row>
    <row r="72" spans="1:23" ht="15.75" x14ac:dyDescent="0.25">
      <c r="A72" s="31">
        <v>2</v>
      </c>
      <c r="B72" s="31" t="s">
        <v>24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37"/>
      <c r="Q72" s="38"/>
      <c r="R72" s="24"/>
      <c r="S72" s="38"/>
      <c r="T72" s="24"/>
      <c r="U72" s="25"/>
      <c r="V72" s="25"/>
      <c r="W72" s="25"/>
    </row>
    <row r="73" spans="1:23" ht="15.75" x14ac:dyDescent="0.25">
      <c r="A73" s="31">
        <v>3</v>
      </c>
      <c r="B73" s="31" t="s">
        <v>25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37"/>
      <c r="Q73" s="38"/>
      <c r="R73" s="24"/>
      <c r="S73" s="38"/>
      <c r="T73" s="24"/>
      <c r="U73" s="25"/>
      <c r="V73" s="25"/>
      <c r="W73" s="25"/>
    </row>
    <row r="76" spans="1:23" x14ac:dyDescent="0.25">
      <c r="R76" t="s">
        <v>65</v>
      </c>
    </row>
  </sheetData>
  <mergeCells count="20">
    <mergeCell ref="J5:N5"/>
    <mergeCell ref="O5:O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3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83"/>
  <sheetViews>
    <sheetView topLeftCell="A43" zoomScale="85" zoomScaleNormal="85" zoomScaleSheetLayoutView="85" workbookViewId="0">
      <selection activeCell="B75" sqref="B75"/>
    </sheetView>
  </sheetViews>
  <sheetFormatPr defaultRowHeight="15" x14ac:dyDescent="0.25"/>
  <cols>
    <col min="1" max="1" width="7.5703125" customWidth="1"/>
    <col min="2" max="2" width="13" customWidth="1"/>
    <col min="3" max="3" width="15.570312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166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167</v>
      </c>
      <c r="C3" s="207"/>
      <c r="D3" s="12" t="s">
        <v>6</v>
      </c>
      <c r="E3" s="201" t="s">
        <v>168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132</v>
      </c>
      <c r="W3" s="25"/>
    </row>
    <row r="4" spans="1:23" ht="15.75" x14ac:dyDescent="0.25">
      <c r="A4" s="12" t="s">
        <v>0</v>
      </c>
      <c r="B4" s="216" t="s">
        <v>168</v>
      </c>
      <c r="C4" s="216"/>
      <c r="D4" s="12" t="s">
        <v>9</v>
      </c>
      <c r="E4" s="201" t="s">
        <v>169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 t="s">
        <v>152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160</v>
      </c>
      <c r="D7" s="19" t="s">
        <v>124</v>
      </c>
      <c r="E7" s="17">
        <v>92.1</v>
      </c>
      <c r="F7" s="17">
        <v>0.1</v>
      </c>
      <c r="G7" s="19">
        <f t="shared" ref="G7" si="0">E7-F7</f>
        <v>92</v>
      </c>
      <c r="H7" s="17">
        <v>1</v>
      </c>
      <c r="I7" s="19">
        <f t="shared" ref="I7" si="1">G7*H7</f>
        <v>92</v>
      </c>
      <c r="J7" s="17">
        <v>105.2</v>
      </c>
      <c r="K7" s="17">
        <v>0.1</v>
      </c>
      <c r="L7" s="19">
        <f t="shared" ref="L7" si="2">J7-K7</f>
        <v>105.10000000000001</v>
      </c>
      <c r="M7" s="17">
        <v>1</v>
      </c>
      <c r="N7" s="19">
        <f t="shared" ref="N7" si="3">L7*M7</f>
        <v>105.10000000000001</v>
      </c>
      <c r="O7" s="17">
        <f>N7-I7</f>
        <v>13.100000000000009</v>
      </c>
      <c r="P7" s="17">
        <v>1493.6</v>
      </c>
      <c r="Q7" s="17">
        <v>1319.8</v>
      </c>
      <c r="R7" s="19">
        <f t="shared" ref="R7" si="4">P7-Q7</f>
        <v>173.79999999999995</v>
      </c>
      <c r="S7" s="17">
        <v>1</v>
      </c>
      <c r="T7" s="19">
        <f t="shared" ref="T7" si="5">R7*S7</f>
        <v>173.79999999999995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160</v>
      </c>
      <c r="D8" s="19" t="s">
        <v>124</v>
      </c>
      <c r="E8" s="17">
        <v>191</v>
      </c>
      <c r="F8" s="17">
        <f t="shared" ref="F8:F13" si="6">E7</f>
        <v>92.1</v>
      </c>
      <c r="G8" s="19">
        <f t="shared" ref="G8" si="7">E8-F8</f>
        <v>98.9</v>
      </c>
      <c r="H8" s="17">
        <f t="shared" ref="H8:H16" si="8">H7</f>
        <v>1</v>
      </c>
      <c r="I8" s="19">
        <f t="shared" ref="I8" si="9">G8*H8</f>
        <v>98.9</v>
      </c>
      <c r="J8" s="17">
        <v>227.6</v>
      </c>
      <c r="K8" s="17">
        <f t="shared" ref="K8:K13" si="10">J7</f>
        <v>105.2</v>
      </c>
      <c r="L8" s="19">
        <f t="shared" ref="L8" si="11">J8-K8</f>
        <v>122.39999999999999</v>
      </c>
      <c r="M8" s="17">
        <f t="shared" ref="M8:M16" si="12">M7</f>
        <v>1</v>
      </c>
      <c r="N8" s="19">
        <f t="shared" ref="N8" si="13">L8*M8</f>
        <v>122.39999999999999</v>
      </c>
      <c r="O8" s="17">
        <f>N8-I8</f>
        <v>23.499999999999986</v>
      </c>
      <c r="P8" s="17">
        <v>1675.3</v>
      </c>
      <c r="Q8" s="17">
        <f t="shared" ref="Q8:Q13" si="14">P7</f>
        <v>1493.6</v>
      </c>
      <c r="R8" s="19">
        <f t="shared" ref="R8" si="15">P8-Q8</f>
        <v>181.70000000000005</v>
      </c>
      <c r="S8" s="17">
        <f t="shared" ref="S8:S16" si="16">S7</f>
        <v>1</v>
      </c>
      <c r="T8" s="19">
        <f t="shared" ref="T8" si="17">R8*S8</f>
        <v>181.70000000000005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160</v>
      </c>
      <c r="D9" s="19" t="s">
        <v>124</v>
      </c>
      <c r="E9" s="17">
        <v>290</v>
      </c>
      <c r="F9" s="17">
        <f t="shared" si="6"/>
        <v>191</v>
      </c>
      <c r="G9" s="19">
        <f t="shared" ref="G9:G14" si="18">E9-F9</f>
        <v>99</v>
      </c>
      <c r="H9" s="17">
        <f t="shared" si="8"/>
        <v>1</v>
      </c>
      <c r="I9" s="19">
        <f t="shared" ref="I9:I14" si="19">G9*H9</f>
        <v>99</v>
      </c>
      <c r="J9" s="17">
        <v>332</v>
      </c>
      <c r="K9" s="17">
        <f t="shared" si="10"/>
        <v>227.6</v>
      </c>
      <c r="L9" s="19">
        <f t="shared" ref="L9" si="20">J9-K9</f>
        <v>104.4</v>
      </c>
      <c r="M9" s="17">
        <f t="shared" si="12"/>
        <v>1</v>
      </c>
      <c r="N9" s="19">
        <f t="shared" ref="N9" si="21">L9*M9</f>
        <v>104.4</v>
      </c>
      <c r="O9" s="12">
        <f t="shared" ref="O9:O16" si="22">SUM(O7)</f>
        <v>13.100000000000009</v>
      </c>
      <c r="P9" s="17">
        <v>1841</v>
      </c>
      <c r="Q9" s="17">
        <f t="shared" si="14"/>
        <v>1675.3</v>
      </c>
      <c r="R9" s="19">
        <f t="shared" ref="R9" si="23">P9-Q9</f>
        <v>165.70000000000005</v>
      </c>
      <c r="S9" s="17">
        <f t="shared" si="16"/>
        <v>1</v>
      </c>
      <c r="T9" s="19">
        <f t="shared" ref="T9" si="24">R9*S9</f>
        <v>165.70000000000005</v>
      </c>
      <c r="U9" s="17">
        <v>1.49</v>
      </c>
      <c r="V9" s="17">
        <v>0.99</v>
      </c>
      <c r="W9" s="25"/>
    </row>
    <row r="10" spans="1:23" ht="15.75" x14ac:dyDescent="0.25">
      <c r="A10" s="12">
        <v>4</v>
      </c>
      <c r="B10" s="22" t="s">
        <v>244</v>
      </c>
      <c r="C10" s="19" t="s">
        <v>160</v>
      </c>
      <c r="D10" s="19" t="s">
        <v>124</v>
      </c>
      <c r="E10" s="17">
        <v>393</v>
      </c>
      <c r="F10" s="17">
        <f t="shared" si="6"/>
        <v>290</v>
      </c>
      <c r="G10" s="19">
        <f t="shared" si="18"/>
        <v>103</v>
      </c>
      <c r="H10" s="17">
        <f t="shared" si="8"/>
        <v>1</v>
      </c>
      <c r="I10" s="19">
        <f t="shared" si="19"/>
        <v>103</v>
      </c>
      <c r="J10" s="17">
        <v>464</v>
      </c>
      <c r="K10" s="17">
        <f t="shared" si="10"/>
        <v>332</v>
      </c>
      <c r="L10" s="19">
        <f t="shared" ref="L10" si="25">J10-K10</f>
        <v>132</v>
      </c>
      <c r="M10" s="17">
        <f t="shared" si="12"/>
        <v>1</v>
      </c>
      <c r="N10" s="19">
        <f t="shared" ref="N10" si="26">L10*M10</f>
        <v>132</v>
      </c>
      <c r="O10" s="12">
        <f t="shared" si="22"/>
        <v>23.499999999999986</v>
      </c>
      <c r="P10" s="17">
        <v>2047.9</v>
      </c>
      <c r="Q10" s="17">
        <f t="shared" si="14"/>
        <v>1841</v>
      </c>
      <c r="R10" s="19">
        <f t="shared" ref="R10" si="27">P10-Q10</f>
        <v>206.90000000000009</v>
      </c>
      <c r="S10" s="17">
        <f t="shared" si="16"/>
        <v>1</v>
      </c>
      <c r="T10" s="19">
        <f t="shared" ref="T10" si="28">R10*S10</f>
        <v>206.90000000000009</v>
      </c>
      <c r="U10" s="17">
        <v>1.1599999999999999</v>
      </c>
      <c r="V10" s="17">
        <v>0.95</v>
      </c>
      <c r="W10" s="25"/>
    </row>
    <row r="11" spans="1:23" ht="15.75" x14ac:dyDescent="0.25">
      <c r="A11" s="12">
        <v>5</v>
      </c>
      <c r="B11" s="22" t="s">
        <v>245</v>
      </c>
      <c r="C11" s="19" t="s">
        <v>160</v>
      </c>
      <c r="D11" s="19" t="s">
        <v>124</v>
      </c>
      <c r="E11" s="17">
        <v>498.5</v>
      </c>
      <c r="F11" s="17">
        <f t="shared" si="6"/>
        <v>393</v>
      </c>
      <c r="G11" s="19">
        <f t="shared" si="18"/>
        <v>105.5</v>
      </c>
      <c r="H11" s="17">
        <f t="shared" si="8"/>
        <v>1</v>
      </c>
      <c r="I11" s="19">
        <f t="shared" si="19"/>
        <v>105.5</v>
      </c>
      <c r="J11" s="17">
        <v>601.20000000000005</v>
      </c>
      <c r="K11" s="17">
        <f t="shared" si="10"/>
        <v>464</v>
      </c>
      <c r="L11" s="19">
        <f t="shared" ref="L11" si="29">J11-K11</f>
        <v>137.20000000000005</v>
      </c>
      <c r="M11" s="17">
        <f t="shared" si="12"/>
        <v>1</v>
      </c>
      <c r="N11" s="19">
        <f t="shared" ref="N11" si="30">L11*M11</f>
        <v>137.20000000000005</v>
      </c>
      <c r="O11" s="12">
        <f t="shared" si="22"/>
        <v>13.100000000000009</v>
      </c>
      <c r="P11" s="17">
        <v>2229.4</v>
      </c>
      <c r="Q11" s="17">
        <f t="shared" si="14"/>
        <v>2047.9</v>
      </c>
      <c r="R11" s="19">
        <f t="shared" ref="R11" si="31">P11-Q11</f>
        <v>181.5</v>
      </c>
      <c r="S11" s="17">
        <f t="shared" si="16"/>
        <v>1</v>
      </c>
      <c r="T11" s="19">
        <f t="shared" ref="T11" si="32">R11*S11</f>
        <v>181.5</v>
      </c>
      <c r="U11" s="17">
        <v>1.37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160</v>
      </c>
      <c r="D12" s="19" t="s">
        <v>124</v>
      </c>
      <c r="E12" s="12">
        <v>616.4</v>
      </c>
      <c r="F12" s="17">
        <f t="shared" si="6"/>
        <v>498.5</v>
      </c>
      <c r="G12" s="19">
        <f t="shared" si="18"/>
        <v>117.89999999999998</v>
      </c>
      <c r="H12" s="17">
        <f t="shared" si="8"/>
        <v>1</v>
      </c>
      <c r="I12" s="19">
        <f t="shared" si="19"/>
        <v>117.89999999999998</v>
      </c>
      <c r="J12" s="12">
        <v>707.4</v>
      </c>
      <c r="K12" s="17">
        <f t="shared" si="10"/>
        <v>601.20000000000005</v>
      </c>
      <c r="L12" s="19">
        <f t="shared" ref="L12" si="33">J12-K12</f>
        <v>106.19999999999993</v>
      </c>
      <c r="M12" s="17">
        <f t="shared" si="12"/>
        <v>1</v>
      </c>
      <c r="N12" s="19">
        <f t="shared" ref="N12" si="34">L12*M12</f>
        <v>106.19999999999993</v>
      </c>
      <c r="O12" s="12">
        <f t="shared" si="22"/>
        <v>23.499999999999986</v>
      </c>
      <c r="P12" s="17">
        <v>2412.4</v>
      </c>
      <c r="Q12" s="17">
        <f t="shared" si="14"/>
        <v>2229.4</v>
      </c>
      <c r="R12" s="19">
        <f t="shared" ref="R12" si="35">P12-Q12</f>
        <v>183</v>
      </c>
      <c r="S12" s="17">
        <f t="shared" si="16"/>
        <v>1</v>
      </c>
      <c r="T12" s="19">
        <f t="shared" ref="T12" si="36">R12*S12</f>
        <v>183</v>
      </c>
      <c r="U12" s="19">
        <v>2.2400000000000002</v>
      </c>
      <c r="V12" s="19"/>
      <c r="W12" s="25"/>
    </row>
    <row r="13" spans="1:23" ht="15.75" x14ac:dyDescent="0.25">
      <c r="A13" s="12">
        <v>7</v>
      </c>
      <c r="B13" s="22" t="s">
        <v>252</v>
      </c>
      <c r="C13" s="19" t="s">
        <v>160</v>
      </c>
      <c r="D13" s="19" t="s">
        <v>124</v>
      </c>
      <c r="E13" s="12">
        <v>718</v>
      </c>
      <c r="F13" s="17">
        <f t="shared" si="6"/>
        <v>616.4</v>
      </c>
      <c r="G13" s="19">
        <f t="shared" si="18"/>
        <v>101.60000000000002</v>
      </c>
      <c r="H13" s="17">
        <f t="shared" si="8"/>
        <v>1</v>
      </c>
      <c r="I13" s="19">
        <f t="shared" si="19"/>
        <v>101.60000000000002</v>
      </c>
      <c r="J13" s="12">
        <v>794</v>
      </c>
      <c r="K13" s="17">
        <f t="shared" si="10"/>
        <v>707.4</v>
      </c>
      <c r="L13" s="19">
        <f t="shared" ref="L13" si="37">J13-K13</f>
        <v>86.600000000000023</v>
      </c>
      <c r="M13" s="17">
        <f t="shared" si="12"/>
        <v>1</v>
      </c>
      <c r="N13" s="19">
        <f t="shared" ref="N13" si="38">L13*M13</f>
        <v>86.600000000000023</v>
      </c>
      <c r="O13" s="12">
        <f t="shared" si="22"/>
        <v>13.100000000000009</v>
      </c>
      <c r="P13" s="12">
        <v>2537.8000000000002</v>
      </c>
      <c r="Q13" s="17">
        <f t="shared" si="14"/>
        <v>2412.4</v>
      </c>
      <c r="R13" s="19">
        <f t="shared" ref="R13" si="39">P13-Q13</f>
        <v>125.40000000000009</v>
      </c>
      <c r="S13" s="17">
        <f t="shared" si="16"/>
        <v>1</v>
      </c>
      <c r="T13" s="19">
        <f t="shared" ref="T13" si="40">R13*S13</f>
        <v>125.40000000000009</v>
      </c>
      <c r="U13" s="19">
        <v>1.76</v>
      </c>
      <c r="V13" s="19">
        <v>0.68</v>
      </c>
      <c r="W13" s="25"/>
    </row>
    <row r="14" spans="1:23" ht="15.75" x14ac:dyDescent="0.25">
      <c r="A14" s="12">
        <v>8</v>
      </c>
      <c r="B14" s="22" t="s">
        <v>253</v>
      </c>
      <c r="C14" s="19" t="s">
        <v>160</v>
      </c>
      <c r="D14" s="19" t="s">
        <v>124</v>
      </c>
      <c r="E14" s="12">
        <v>832.7</v>
      </c>
      <c r="F14" s="17">
        <f t="shared" ref="F14" si="41">E13</f>
        <v>718</v>
      </c>
      <c r="G14" s="19">
        <f t="shared" si="18"/>
        <v>114.70000000000005</v>
      </c>
      <c r="H14" s="17">
        <f t="shared" si="8"/>
        <v>1</v>
      </c>
      <c r="I14" s="19">
        <f t="shared" si="19"/>
        <v>114.70000000000005</v>
      </c>
      <c r="J14" s="12">
        <v>854.9</v>
      </c>
      <c r="K14" s="17">
        <f t="shared" ref="K14" si="42">J13</f>
        <v>794</v>
      </c>
      <c r="L14" s="19">
        <f t="shared" ref="L14" si="43">J14-K14</f>
        <v>60.899999999999977</v>
      </c>
      <c r="M14" s="17">
        <f t="shared" si="12"/>
        <v>1</v>
      </c>
      <c r="N14" s="19">
        <f t="shared" ref="N14" si="44">L14*M14</f>
        <v>60.899999999999977</v>
      </c>
      <c r="O14" s="12">
        <f t="shared" si="22"/>
        <v>23.499999999999986</v>
      </c>
      <c r="P14" s="12">
        <v>2647</v>
      </c>
      <c r="Q14" s="17">
        <f t="shared" ref="Q14" si="45">P13</f>
        <v>2537.8000000000002</v>
      </c>
      <c r="R14" s="19">
        <f t="shared" ref="R14" si="46">P14-Q14</f>
        <v>109.19999999999982</v>
      </c>
      <c r="S14" s="17">
        <f t="shared" si="16"/>
        <v>1</v>
      </c>
      <c r="T14" s="19">
        <f t="shared" ref="T14" si="47">R14*S14</f>
        <v>109.19999999999982</v>
      </c>
      <c r="U14" s="19">
        <v>0.96</v>
      </c>
      <c r="V14" s="19">
        <v>0.91</v>
      </c>
      <c r="W14" s="25"/>
    </row>
    <row r="15" spans="1:23" ht="15.75" x14ac:dyDescent="0.25">
      <c r="A15" s="12">
        <v>9</v>
      </c>
      <c r="B15" s="22" t="s">
        <v>254</v>
      </c>
      <c r="C15" s="19" t="s">
        <v>160</v>
      </c>
      <c r="D15" s="19" t="s">
        <v>124</v>
      </c>
      <c r="E15" s="12">
        <v>944.2</v>
      </c>
      <c r="F15" s="17">
        <f t="shared" ref="F15" si="48">E14</f>
        <v>832.7</v>
      </c>
      <c r="G15" s="19">
        <f t="shared" ref="G15" si="49">E15-F15</f>
        <v>111.5</v>
      </c>
      <c r="H15" s="17">
        <f t="shared" si="8"/>
        <v>1</v>
      </c>
      <c r="I15" s="19">
        <f t="shared" ref="I15" si="50">G15*H15</f>
        <v>111.5</v>
      </c>
      <c r="J15" s="12">
        <v>917.7</v>
      </c>
      <c r="K15" s="17">
        <f t="shared" ref="K15" si="51">J14</f>
        <v>854.9</v>
      </c>
      <c r="L15" s="19">
        <f t="shared" ref="L15" si="52">J15-K15</f>
        <v>62.800000000000068</v>
      </c>
      <c r="M15" s="17">
        <f t="shared" si="12"/>
        <v>1</v>
      </c>
      <c r="N15" s="19">
        <f t="shared" ref="N15" si="53">L15*M15</f>
        <v>62.800000000000068</v>
      </c>
      <c r="O15" s="12">
        <f t="shared" si="22"/>
        <v>13.100000000000009</v>
      </c>
      <c r="P15" s="12">
        <v>2775</v>
      </c>
      <c r="Q15" s="17">
        <f t="shared" ref="Q15" si="54">P14</f>
        <v>2647</v>
      </c>
      <c r="R15" s="19">
        <f t="shared" ref="R15" si="55">P15-Q15</f>
        <v>128</v>
      </c>
      <c r="S15" s="17">
        <f t="shared" si="16"/>
        <v>1</v>
      </c>
      <c r="T15" s="19">
        <f t="shared" ref="T15" si="56">R15*S15</f>
        <v>128</v>
      </c>
      <c r="U15" s="19">
        <v>0.97</v>
      </c>
      <c r="V15" s="19">
        <v>0.51</v>
      </c>
      <c r="W15" s="25"/>
    </row>
    <row r="16" spans="1:23" ht="15.75" x14ac:dyDescent="0.25">
      <c r="A16" s="12">
        <v>10</v>
      </c>
      <c r="B16" s="22" t="s">
        <v>258</v>
      </c>
      <c r="C16" s="19" t="s">
        <v>160</v>
      </c>
      <c r="D16" s="19" t="s">
        <v>124</v>
      </c>
      <c r="E16" s="12">
        <v>1059.2</v>
      </c>
      <c r="F16" s="17">
        <f t="shared" ref="F16" si="57">E15</f>
        <v>944.2</v>
      </c>
      <c r="G16" s="19">
        <f t="shared" ref="G16" si="58">E16-F16</f>
        <v>115</v>
      </c>
      <c r="H16" s="17">
        <f t="shared" si="8"/>
        <v>1</v>
      </c>
      <c r="I16" s="19">
        <f t="shared" ref="I16" si="59">G16*H16</f>
        <v>115</v>
      </c>
      <c r="J16" s="12">
        <v>1105.7</v>
      </c>
      <c r="K16" s="17">
        <f t="shared" ref="K16" si="60">J15</f>
        <v>917.7</v>
      </c>
      <c r="L16" s="19">
        <f t="shared" ref="L16" si="61">J16-K16</f>
        <v>188</v>
      </c>
      <c r="M16" s="17">
        <f t="shared" si="12"/>
        <v>1</v>
      </c>
      <c r="N16" s="19">
        <f t="shared" ref="N16" si="62">L16*M16</f>
        <v>188</v>
      </c>
      <c r="O16" s="12">
        <f t="shared" si="22"/>
        <v>23.499999999999986</v>
      </c>
      <c r="P16" s="12">
        <v>2978</v>
      </c>
      <c r="Q16" s="17">
        <f t="shared" ref="Q16" si="63">P15</f>
        <v>2775</v>
      </c>
      <c r="R16" s="19">
        <f t="shared" ref="R16" si="64">P16-Q16</f>
        <v>203</v>
      </c>
      <c r="S16" s="17">
        <f t="shared" si="16"/>
        <v>1</v>
      </c>
      <c r="T16" s="19">
        <f t="shared" ref="T16" si="65">R16*S16</f>
        <v>203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22" t="s">
        <v>121</v>
      </c>
      <c r="I17" s="12">
        <f>SUM(I7:I16)</f>
        <v>1059.0999999999999</v>
      </c>
      <c r="J17" s="12"/>
      <c r="K17" s="17"/>
      <c r="L17" s="12"/>
      <c r="M17" s="17"/>
      <c r="N17" s="12">
        <f t="shared" ref="N17:O17" si="66">SUM(N7:N16)</f>
        <v>1105.5999999999999</v>
      </c>
      <c r="O17" s="12">
        <f t="shared" si="66"/>
        <v>183</v>
      </c>
      <c r="P17" s="12"/>
      <c r="Q17" s="17"/>
      <c r="R17" s="12"/>
      <c r="S17" s="17"/>
      <c r="T17" s="12">
        <f>SUM(T7:T16)</f>
        <v>1658.2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160</v>
      </c>
      <c r="D18" s="19" t="s">
        <v>124</v>
      </c>
      <c r="E18" s="12">
        <v>1160.5999999999999</v>
      </c>
      <c r="F18" s="17">
        <f>E16</f>
        <v>1059.2</v>
      </c>
      <c r="G18" s="19">
        <f t="shared" ref="G18" si="67">E18-F18</f>
        <v>101.39999999999986</v>
      </c>
      <c r="H18" s="91">
        <v>1</v>
      </c>
      <c r="I18" s="19">
        <f t="shared" ref="I18" si="68">G18*H18</f>
        <v>101.39999999999986</v>
      </c>
      <c r="J18" s="12">
        <v>1231.3</v>
      </c>
      <c r="K18" s="17">
        <f>J16</f>
        <v>1105.7</v>
      </c>
      <c r="L18" s="19">
        <f t="shared" ref="L18" si="69">J18-K18</f>
        <v>125.59999999999991</v>
      </c>
      <c r="M18" s="17">
        <f>M16</f>
        <v>1</v>
      </c>
      <c r="N18" s="19">
        <f t="shared" ref="N18" si="70">L18*M18</f>
        <v>125.59999999999991</v>
      </c>
      <c r="O18" s="17">
        <f t="shared" ref="O18" si="71">N18-I18</f>
        <v>24.200000000000045</v>
      </c>
      <c r="P18" s="12">
        <v>3205.5</v>
      </c>
      <c r="Q18" s="17">
        <f>P16</f>
        <v>2978</v>
      </c>
      <c r="R18" s="19">
        <f t="shared" ref="R18" si="72">P18-Q18</f>
        <v>227.5</v>
      </c>
      <c r="S18" s="17">
        <f>S16</f>
        <v>1</v>
      </c>
      <c r="T18" s="19">
        <f t="shared" ref="T18" si="73">R18*S18</f>
        <v>227.5</v>
      </c>
      <c r="U18" s="12">
        <v>1.56</v>
      </c>
      <c r="V18" s="12">
        <v>0.97</v>
      </c>
      <c r="W18" s="25"/>
    </row>
    <row r="19" spans="1:23" ht="15.75" x14ac:dyDescent="0.25">
      <c r="A19" s="12">
        <v>12</v>
      </c>
      <c r="B19" s="22" t="s">
        <v>263</v>
      </c>
      <c r="C19" s="19" t="s">
        <v>160</v>
      </c>
      <c r="D19" s="19" t="s">
        <v>124</v>
      </c>
      <c r="E19" s="12">
        <v>1265.7</v>
      </c>
      <c r="F19" s="17">
        <f t="shared" ref="F19:F24" si="74">E18</f>
        <v>1160.5999999999999</v>
      </c>
      <c r="G19" s="19">
        <f t="shared" ref="G19" si="75">E19-F19</f>
        <v>105.10000000000014</v>
      </c>
      <c r="H19" s="91">
        <f t="shared" ref="H19:H59" si="76">H18</f>
        <v>1</v>
      </c>
      <c r="I19" s="19">
        <f t="shared" ref="I19" si="77">G19*H19</f>
        <v>105.10000000000014</v>
      </c>
      <c r="J19" s="12">
        <v>1386.2</v>
      </c>
      <c r="K19" s="17">
        <f t="shared" ref="K19:K24" si="78">J18</f>
        <v>1231.3</v>
      </c>
      <c r="L19" s="19">
        <f t="shared" ref="L19" si="79">J19-K19</f>
        <v>154.90000000000009</v>
      </c>
      <c r="M19" s="17">
        <f t="shared" ref="M19:M59" si="80">M18</f>
        <v>1</v>
      </c>
      <c r="N19" s="19">
        <f t="shared" ref="N19" si="81">L19*M19</f>
        <v>154.90000000000009</v>
      </c>
      <c r="O19" s="17">
        <f t="shared" ref="O19" si="82">N19-I19</f>
        <v>49.799999999999955</v>
      </c>
      <c r="P19" s="12">
        <v>3440.9</v>
      </c>
      <c r="Q19" s="17">
        <f t="shared" ref="Q19:Q24" si="83">P18</f>
        <v>3205.5</v>
      </c>
      <c r="R19" s="19">
        <f t="shared" ref="R19" si="84">P19-Q19</f>
        <v>235.40000000000009</v>
      </c>
      <c r="S19" s="17">
        <f t="shared" ref="S19:S59" si="85">S18</f>
        <v>1</v>
      </c>
      <c r="T19" s="19">
        <f t="shared" ref="T19" si="86">R19*S19</f>
        <v>235.40000000000009</v>
      </c>
      <c r="U19" s="19">
        <v>1.34</v>
      </c>
      <c r="V19" s="19">
        <v>0.98</v>
      </c>
      <c r="W19" s="25"/>
    </row>
    <row r="20" spans="1:23" ht="15.75" x14ac:dyDescent="0.25">
      <c r="A20" s="12">
        <v>13</v>
      </c>
      <c r="B20" s="22" t="s">
        <v>265</v>
      </c>
      <c r="C20" s="19" t="s">
        <v>160</v>
      </c>
      <c r="D20" s="19" t="s">
        <v>124</v>
      </c>
      <c r="E20" s="12">
        <v>1369.2</v>
      </c>
      <c r="F20" s="17">
        <f t="shared" si="74"/>
        <v>1265.7</v>
      </c>
      <c r="G20" s="19">
        <f t="shared" ref="G20" si="87">E20-F20</f>
        <v>103.5</v>
      </c>
      <c r="H20" s="91">
        <f t="shared" si="76"/>
        <v>1</v>
      </c>
      <c r="I20" s="19">
        <f t="shared" ref="I20" si="88">G20*H20</f>
        <v>103.5</v>
      </c>
      <c r="J20" s="12">
        <v>1506.9</v>
      </c>
      <c r="K20" s="17">
        <f t="shared" si="78"/>
        <v>1386.2</v>
      </c>
      <c r="L20" s="19">
        <f t="shared" ref="L20" si="89">J20-K20</f>
        <v>120.70000000000005</v>
      </c>
      <c r="M20" s="17">
        <f t="shared" si="80"/>
        <v>1</v>
      </c>
      <c r="N20" s="19">
        <f t="shared" ref="N20" si="90">L20*M20</f>
        <v>120.70000000000005</v>
      </c>
      <c r="O20" s="17">
        <f t="shared" ref="O20" si="91">N20-I20</f>
        <v>17.200000000000045</v>
      </c>
      <c r="P20" s="12">
        <v>3622.4</v>
      </c>
      <c r="Q20" s="17">
        <f t="shared" si="83"/>
        <v>3440.9</v>
      </c>
      <c r="R20" s="19">
        <f t="shared" ref="R20" si="92">P20-Q20</f>
        <v>181.5</v>
      </c>
      <c r="S20" s="17">
        <f t="shared" si="85"/>
        <v>1</v>
      </c>
      <c r="T20" s="19">
        <f t="shared" ref="T20" si="93">R20*S20</f>
        <v>181.5</v>
      </c>
      <c r="U20" s="19">
        <v>1.38</v>
      </c>
      <c r="V20" s="19">
        <v>0.97</v>
      </c>
      <c r="W20" s="25"/>
    </row>
    <row r="21" spans="1:23" ht="15.75" x14ac:dyDescent="0.25">
      <c r="A21" s="12">
        <v>14</v>
      </c>
      <c r="B21" s="22" t="s">
        <v>266</v>
      </c>
      <c r="C21" s="19" t="s">
        <v>160</v>
      </c>
      <c r="D21" s="19" t="s">
        <v>124</v>
      </c>
      <c r="E21" s="12">
        <v>1468.2</v>
      </c>
      <c r="F21" s="17">
        <f t="shared" si="74"/>
        <v>1369.2</v>
      </c>
      <c r="G21" s="19">
        <f t="shared" ref="G21" si="94">E21-F21</f>
        <v>99</v>
      </c>
      <c r="H21" s="91">
        <f t="shared" si="76"/>
        <v>1</v>
      </c>
      <c r="I21" s="19">
        <f t="shared" ref="I21" si="95">G21*H21</f>
        <v>99</v>
      </c>
      <c r="J21" s="12">
        <v>1620.9</v>
      </c>
      <c r="K21" s="17">
        <f t="shared" si="78"/>
        <v>1506.9</v>
      </c>
      <c r="L21" s="19">
        <f t="shared" ref="L21" si="96">J21-K21</f>
        <v>114</v>
      </c>
      <c r="M21" s="17">
        <f t="shared" si="80"/>
        <v>1</v>
      </c>
      <c r="N21" s="19">
        <f t="shared" ref="N21" si="97">L21*M21</f>
        <v>114</v>
      </c>
      <c r="O21" s="17">
        <f t="shared" ref="O21" si="98">N21-I21</f>
        <v>15</v>
      </c>
      <c r="P21" s="12">
        <v>3797.4</v>
      </c>
      <c r="Q21" s="17">
        <f t="shared" si="83"/>
        <v>3622.4</v>
      </c>
      <c r="R21" s="19">
        <f t="shared" ref="R21" si="99">P21-Q21</f>
        <v>175</v>
      </c>
      <c r="S21" s="17">
        <f t="shared" si="85"/>
        <v>1</v>
      </c>
      <c r="T21" s="19">
        <f t="shared" ref="T21" si="100">R21*S21</f>
        <v>175</v>
      </c>
      <c r="U21" s="19"/>
      <c r="V21" s="19"/>
      <c r="W21" s="25"/>
    </row>
    <row r="22" spans="1:23" ht="15.75" x14ac:dyDescent="0.25">
      <c r="A22" s="12">
        <v>15</v>
      </c>
      <c r="B22" s="22" t="s">
        <v>267</v>
      </c>
      <c r="C22" s="19" t="s">
        <v>160</v>
      </c>
      <c r="D22" s="19" t="s">
        <v>124</v>
      </c>
      <c r="E22" s="12">
        <v>1563.3</v>
      </c>
      <c r="F22" s="17">
        <f t="shared" si="74"/>
        <v>1468.2</v>
      </c>
      <c r="G22" s="19">
        <f t="shared" ref="G22" si="101">E22-F22</f>
        <v>95.099999999999909</v>
      </c>
      <c r="H22" s="91">
        <f t="shared" si="76"/>
        <v>1</v>
      </c>
      <c r="I22" s="19">
        <f t="shared" ref="I22" si="102">G22*H22</f>
        <v>95.099999999999909</v>
      </c>
      <c r="J22" s="12">
        <v>1791.7</v>
      </c>
      <c r="K22" s="17">
        <f t="shared" si="78"/>
        <v>1620.9</v>
      </c>
      <c r="L22" s="19">
        <f t="shared" ref="L22" si="103">J22-K22</f>
        <v>170.79999999999995</v>
      </c>
      <c r="M22" s="17">
        <f t="shared" si="80"/>
        <v>1</v>
      </c>
      <c r="N22" s="19">
        <f t="shared" ref="N22" si="104">L22*M22</f>
        <v>170.79999999999995</v>
      </c>
      <c r="O22" s="17">
        <f t="shared" ref="O22" si="105">N22-I22</f>
        <v>75.700000000000045</v>
      </c>
      <c r="P22" s="12">
        <v>4055.2</v>
      </c>
      <c r="Q22" s="17">
        <f t="shared" si="83"/>
        <v>3797.4</v>
      </c>
      <c r="R22" s="19">
        <f t="shared" ref="R22" si="106">P22-Q22</f>
        <v>257.79999999999973</v>
      </c>
      <c r="S22" s="17">
        <f t="shared" si="85"/>
        <v>1</v>
      </c>
      <c r="T22" s="19">
        <f t="shared" ref="T22" si="107">R22*S22</f>
        <v>257.79999999999973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160</v>
      </c>
      <c r="D23" s="19" t="s">
        <v>124</v>
      </c>
      <c r="E23" s="12">
        <v>1646</v>
      </c>
      <c r="F23" s="17">
        <f t="shared" si="74"/>
        <v>1563.3</v>
      </c>
      <c r="G23" s="19">
        <f t="shared" ref="G23" si="108">E23-F23</f>
        <v>82.700000000000045</v>
      </c>
      <c r="H23" s="91">
        <f t="shared" si="76"/>
        <v>1</v>
      </c>
      <c r="I23" s="19">
        <f t="shared" ref="I23" si="109">G23*H23</f>
        <v>82.700000000000045</v>
      </c>
      <c r="J23" s="12">
        <v>1946.8</v>
      </c>
      <c r="K23" s="17">
        <f t="shared" si="78"/>
        <v>1791.7</v>
      </c>
      <c r="L23" s="19">
        <f t="shared" ref="L23" si="110">J23-K23</f>
        <v>155.09999999999991</v>
      </c>
      <c r="M23" s="17">
        <f t="shared" si="80"/>
        <v>1</v>
      </c>
      <c r="N23" s="19">
        <f t="shared" ref="N23" si="111">L23*M23</f>
        <v>155.09999999999991</v>
      </c>
      <c r="O23" s="17">
        <f t="shared" ref="O23" si="112">N23-I23</f>
        <v>72.399999999999864</v>
      </c>
      <c r="P23" s="12">
        <v>4271.3999999999996</v>
      </c>
      <c r="Q23" s="17">
        <f t="shared" si="83"/>
        <v>4055.2</v>
      </c>
      <c r="R23" s="19">
        <f t="shared" ref="R23" si="113">P23-Q23</f>
        <v>216.19999999999982</v>
      </c>
      <c r="S23" s="17">
        <f t="shared" si="85"/>
        <v>1</v>
      </c>
      <c r="T23" s="19">
        <f t="shared" ref="T23" si="114">R23*S23</f>
        <v>216.19999999999982</v>
      </c>
      <c r="U23" s="19">
        <v>1.75</v>
      </c>
      <c r="V23" s="19">
        <v>0.84</v>
      </c>
      <c r="W23" s="25"/>
    </row>
    <row r="24" spans="1:23" ht="15.75" x14ac:dyDescent="0.25">
      <c r="A24" s="12">
        <v>17</v>
      </c>
      <c r="B24" s="22" t="s">
        <v>272</v>
      </c>
      <c r="C24" s="19" t="s">
        <v>160</v>
      </c>
      <c r="D24" s="19" t="s">
        <v>124</v>
      </c>
      <c r="E24" s="12">
        <v>1741.3</v>
      </c>
      <c r="F24" s="17">
        <f t="shared" si="74"/>
        <v>1646</v>
      </c>
      <c r="G24" s="19">
        <f t="shared" ref="G24" si="115">E24-F24</f>
        <v>95.299999999999955</v>
      </c>
      <c r="H24" s="91">
        <f t="shared" si="76"/>
        <v>1</v>
      </c>
      <c r="I24" s="19">
        <f t="shared" ref="I24" si="116">G24*H24</f>
        <v>95.299999999999955</v>
      </c>
      <c r="J24" s="12">
        <v>2122.6999999999998</v>
      </c>
      <c r="K24" s="17">
        <f t="shared" si="78"/>
        <v>1946.8</v>
      </c>
      <c r="L24" s="19">
        <f t="shared" ref="L24" si="117">J24-K24</f>
        <v>175.89999999999986</v>
      </c>
      <c r="M24" s="17">
        <f t="shared" si="80"/>
        <v>1</v>
      </c>
      <c r="N24" s="19">
        <f t="shared" ref="N24" si="118">L24*M24</f>
        <v>175.89999999999986</v>
      </c>
      <c r="O24" s="17">
        <f t="shared" ref="O24" si="119">N24-I24</f>
        <v>80.599999999999909</v>
      </c>
      <c r="P24" s="12">
        <v>4525.8</v>
      </c>
      <c r="Q24" s="17">
        <f t="shared" si="83"/>
        <v>4271.3999999999996</v>
      </c>
      <c r="R24" s="19">
        <f t="shared" ref="R24" si="120">P24-Q24</f>
        <v>254.40000000000055</v>
      </c>
      <c r="S24" s="17">
        <f t="shared" si="85"/>
        <v>1</v>
      </c>
      <c r="T24" s="19">
        <f t="shared" ref="T24" si="121">R24*S24</f>
        <v>254.40000000000055</v>
      </c>
      <c r="U24" s="19">
        <v>1.77</v>
      </c>
      <c r="V24" s="19">
        <v>0.83</v>
      </c>
      <c r="W24" s="25"/>
    </row>
    <row r="25" spans="1:23" ht="15.75" x14ac:dyDescent="0.25">
      <c r="A25" s="12">
        <v>18</v>
      </c>
      <c r="B25" s="22" t="s">
        <v>274</v>
      </c>
      <c r="C25" s="19" t="s">
        <v>160</v>
      </c>
      <c r="D25" s="19" t="s">
        <v>124</v>
      </c>
      <c r="E25" s="12">
        <v>1839.2</v>
      </c>
      <c r="F25" s="17">
        <f t="shared" ref="F25" si="122">E24</f>
        <v>1741.3</v>
      </c>
      <c r="G25" s="19">
        <f t="shared" ref="G25" si="123">E25-F25</f>
        <v>97.900000000000091</v>
      </c>
      <c r="H25" s="91">
        <f t="shared" si="76"/>
        <v>1</v>
      </c>
      <c r="I25" s="19">
        <f t="shared" ref="I25" si="124">G25*H25</f>
        <v>97.900000000000091</v>
      </c>
      <c r="J25" s="12">
        <v>2226.1999999999998</v>
      </c>
      <c r="K25" s="17">
        <f t="shared" ref="K25" si="125">J24</f>
        <v>2122.6999999999998</v>
      </c>
      <c r="L25" s="19">
        <f t="shared" ref="L25" si="126">J25-K25</f>
        <v>103.5</v>
      </c>
      <c r="M25" s="17">
        <f t="shared" si="80"/>
        <v>1</v>
      </c>
      <c r="N25" s="19">
        <f t="shared" ref="N25" si="127">L25*M25</f>
        <v>103.5</v>
      </c>
      <c r="O25" s="17">
        <f t="shared" ref="O25" si="128">N25-I25</f>
        <v>5.5999999999999091</v>
      </c>
      <c r="P25" s="12">
        <v>4681.2</v>
      </c>
      <c r="Q25" s="17">
        <f t="shared" ref="Q25" si="129">P24</f>
        <v>4525.8</v>
      </c>
      <c r="R25" s="19">
        <f t="shared" ref="R25" si="130">P25-Q25</f>
        <v>155.39999999999964</v>
      </c>
      <c r="S25" s="17">
        <f t="shared" si="85"/>
        <v>1</v>
      </c>
      <c r="T25" s="19">
        <f t="shared" ref="T25" si="131">R25*S25</f>
        <v>155.39999999999964</v>
      </c>
      <c r="U25" s="19">
        <v>1.93</v>
      </c>
      <c r="V25" s="19"/>
      <c r="W25" s="25"/>
    </row>
    <row r="26" spans="1:23" ht="15.75" x14ac:dyDescent="0.25">
      <c r="A26" s="12">
        <v>19</v>
      </c>
      <c r="B26" s="22" t="s">
        <v>276</v>
      </c>
      <c r="C26" s="19" t="s">
        <v>160</v>
      </c>
      <c r="D26" s="19" t="s">
        <v>124</v>
      </c>
      <c r="E26" s="12">
        <v>1936.5</v>
      </c>
      <c r="F26" s="17">
        <f t="shared" ref="F26" si="132">E25</f>
        <v>1839.2</v>
      </c>
      <c r="G26" s="19">
        <f t="shared" ref="G26" si="133">E26-F26</f>
        <v>97.299999999999955</v>
      </c>
      <c r="H26" s="91">
        <f t="shared" si="76"/>
        <v>1</v>
      </c>
      <c r="I26" s="19">
        <f t="shared" ref="I26" si="134">G26*H26</f>
        <v>97.299999999999955</v>
      </c>
      <c r="J26" s="12">
        <v>2309.9</v>
      </c>
      <c r="K26" s="17">
        <f t="shared" ref="K26" si="135">J25</f>
        <v>2226.1999999999998</v>
      </c>
      <c r="L26" s="19">
        <f t="shared" ref="L26" si="136">J26-K26</f>
        <v>83.700000000000273</v>
      </c>
      <c r="M26" s="17">
        <f t="shared" si="80"/>
        <v>1</v>
      </c>
      <c r="N26" s="19">
        <f t="shared" ref="N26" si="137">L26*M26</f>
        <v>83.700000000000273</v>
      </c>
      <c r="O26" s="17">
        <f t="shared" ref="O26" si="138">N26-I26</f>
        <v>-13.599999999999682</v>
      </c>
      <c r="P26" s="12">
        <v>4809.7</v>
      </c>
      <c r="Q26" s="17">
        <f t="shared" ref="Q26" si="139">P25</f>
        <v>4681.2</v>
      </c>
      <c r="R26" s="19">
        <f t="shared" ref="R26" si="140">P26-Q26</f>
        <v>128.5</v>
      </c>
      <c r="S26" s="17">
        <f t="shared" si="85"/>
        <v>1</v>
      </c>
      <c r="T26" s="19">
        <f t="shared" ref="T26" si="141">R26*S26</f>
        <v>128.5</v>
      </c>
      <c r="U26" s="19"/>
      <c r="V26" s="19">
        <v>0.86</v>
      </c>
      <c r="W26" s="25"/>
    </row>
    <row r="27" spans="1:23" ht="15.75" x14ac:dyDescent="0.25">
      <c r="A27" s="12">
        <v>20</v>
      </c>
      <c r="B27" s="22" t="s">
        <v>262</v>
      </c>
      <c r="C27" s="19" t="s">
        <v>160</v>
      </c>
      <c r="D27" s="19" t="s">
        <v>124</v>
      </c>
      <c r="E27" s="12">
        <v>2036.6</v>
      </c>
      <c r="F27" s="17">
        <f t="shared" ref="F27" si="142">E26</f>
        <v>1936.5</v>
      </c>
      <c r="G27" s="19">
        <f t="shared" ref="G27" si="143">E27-F27</f>
        <v>100.09999999999991</v>
      </c>
      <c r="H27" s="91">
        <f t="shared" si="76"/>
        <v>1</v>
      </c>
      <c r="I27" s="19">
        <f t="shared" ref="I27" si="144">G27*H27</f>
        <v>100.09999999999991</v>
      </c>
      <c r="J27" s="12">
        <v>2360.5</v>
      </c>
      <c r="K27" s="17">
        <f t="shared" ref="K27" si="145">J26</f>
        <v>2309.9</v>
      </c>
      <c r="L27" s="19">
        <f t="shared" ref="L27" si="146">J27-K27</f>
        <v>50.599999999999909</v>
      </c>
      <c r="M27" s="17">
        <f t="shared" si="80"/>
        <v>1</v>
      </c>
      <c r="N27" s="19">
        <f t="shared" ref="N27" si="147">L27*M27</f>
        <v>50.599999999999909</v>
      </c>
      <c r="O27" s="17">
        <f t="shared" ref="O27" si="148">N27-I27</f>
        <v>-49.5</v>
      </c>
      <c r="P27" s="12">
        <v>4919.8999999999996</v>
      </c>
      <c r="Q27" s="17">
        <f t="shared" ref="Q27" si="149">P26</f>
        <v>4809.7</v>
      </c>
      <c r="R27" s="19">
        <f t="shared" ref="R27" si="150">P27-Q27</f>
        <v>110.19999999999982</v>
      </c>
      <c r="S27" s="17">
        <f t="shared" si="85"/>
        <v>1</v>
      </c>
      <c r="T27" s="19">
        <f t="shared" ref="T27" si="151">R27*S27</f>
        <v>110.19999999999982</v>
      </c>
      <c r="U27" s="19">
        <v>1.03</v>
      </c>
      <c r="V27" s="19">
        <v>0.72</v>
      </c>
      <c r="W27" s="25"/>
    </row>
    <row r="28" spans="1:23" ht="15.75" x14ac:dyDescent="0.25">
      <c r="A28" s="12">
        <v>21</v>
      </c>
      <c r="B28" s="22" t="s">
        <v>277</v>
      </c>
      <c r="C28" s="19" t="s">
        <v>160</v>
      </c>
      <c r="D28" s="19" t="s">
        <v>124</v>
      </c>
      <c r="E28" s="12">
        <v>2130.4</v>
      </c>
      <c r="F28" s="17">
        <f t="shared" ref="F28" si="152">E27</f>
        <v>2036.6</v>
      </c>
      <c r="G28" s="19">
        <f t="shared" ref="G28" si="153">E28-F28</f>
        <v>93.800000000000182</v>
      </c>
      <c r="H28" s="91">
        <f t="shared" si="76"/>
        <v>1</v>
      </c>
      <c r="I28" s="19">
        <f t="shared" ref="I28" si="154">G28*H28</f>
        <v>93.800000000000182</v>
      </c>
      <c r="J28" s="12">
        <v>2445</v>
      </c>
      <c r="K28" s="17">
        <f t="shared" ref="K28" si="155">J27</f>
        <v>2360.5</v>
      </c>
      <c r="L28" s="19">
        <f t="shared" ref="L28" si="156">J28-K28</f>
        <v>84.5</v>
      </c>
      <c r="M28" s="17">
        <f t="shared" si="80"/>
        <v>1</v>
      </c>
      <c r="N28" s="19">
        <f t="shared" ref="N28" si="157">L28*M28</f>
        <v>84.5</v>
      </c>
      <c r="O28" s="17">
        <f t="shared" ref="O28" si="158">N28-I28</f>
        <v>-9.3000000000001819</v>
      </c>
      <c r="P28" s="12">
        <v>5065.1000000000004</v>
      </c>
      <c r="Q28" s="17">
        <f t="shared" ref="Q28" si="159">P27</f>
        <v>4919.8999999999996</v>
      </c>
      <c r="R28" s="19">
        <f t="shared" ref="R28" si="160">P28-Q28</f>
        <v>145.20000000000073</v>
      </c>
      <c r="S28" s="17">
        <f t="shared" si="85"/>
        <v>1</v>
      </c>
      <c r="T28" s="19">
        <f t="shared" ref="T28" si="161">R28*S28</f>
        <v>145.20000000000073</v>
      </c>
      <c r="U28" s="19">
        <v>1.06</v>
      </c>
      <c r="V28" s="19">
        <v>0.95</v>
      </c>
      <c r="W28" s="25"/>
    </row>
    <row r="29" spans="1:23" ht="15.75" x14ac:dyDescent="0.25">
      <c r="A29" s="12">
        <v>22</v>
      </c>
      <c r="B29" s="22" t="s">
        <v>278</v>
      </c>
      <c r="C29" s="19" t="s">
        <v>160</v>
      </c>
      <c r="D29" s="19" t="s">
        <v>124</v>
      </c>
      <c r="E29" s="12">
        <v>2248.8000000000002</v>
      </c>
      <c r="F29" s="17">
        <f t="shared" ref="F29" si="162">E28</f>
        <v>2130.4</v>
      </c>
      <c r="G29" s="19">
        <f t="shared" ref="G29" si="163">E29-F29</f>
        <v>118.40000000000009</v>
      </c>
      <c r="H29" s="91">
        <f t="shared" si="76"/>
        <v>1</v>
      </c>
      <c r="I29" s="19">
        <f t="shared" ref="I29" si="164">G29*H29</f>
        <v>118.40000000000009</v>
      </c>
      <c r="J29" s="12">
        <v>2543.1999999999998</v>
      </c>
      <c r="K29" s="17">
        <f t="shared" ref="K29" si="165">J28</f>
        <v>2445</v>
      </c>
      <c r="L29" s="19">
        <f t="shared" ref="L29" si="166">J29-K29</f>
        <v>98.199999999999818</v>
      </c>
      <c r="M29" s="17">
        <f t="shared" si="80"/>
        <v>1</v>
      </c>
      <c r="N29" s="19">
        <f t="shared" ref="N29" si="167">L29*M29</f>
        <v>98.199999999999818</v>
      </c>
      <c r="O29" s="17">
        <f t="shared" ref="O29" si="168">N29-I29</f>
        <v>-20.200000000000273</v>
      </c>
      <c r="P29" s="12">
        <v>5231.3</v>
      </c>
      <c r="Q29" s="17">
        <f t="shared" ref="Q29" si="169">P28</f>
        <v>5065.1000000000004</v>
      </c>
      <c r="R29" s="19">
        <f t="shared" ref="R29" si="170">P29-Q29</f>
        <v>166.19999999999982</v>
      </c>
      <c r="S29" s="17">
        <f t="shared" si="85"/>
        <v>1</v>
      </c>
      <c r="T29" s="19">
        <f t="shared" ref="T29" si="171">R29*S29</f>
        <v>166.19999999999982</v>
      </c>
      <c r="U29" s="19"/>
      <c r="V29" s="19">
        <v>0.93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160</v>
      </c>
      <c r="D31" s="19" t="s">
        <v>124</v>
      </c>
      <c r="E31" s="12">
        <f>E29+118</f>
        <v>2366.8000000000002</v>
      </c>
      <c r="F31" s="17">
        <f t="shared" ref="F31" si="172">E29</f>
        <v>2248.8000000000002</v>
      </c>
      <c r="G31" s="19">
        <f t="shared" ref="G31" si="173">E31-F31</f>
        <v>118</v>
      </c>
      <c r="H31" s="91">
        <f>H29</f>
        <v>1</v>
      </c>
      <c r="I31" s="19">
        <f t="shared" ref="I31" si="174">G31*H31</f>
        <v>118</v>
      </c>
      <c r="J31" s="12">
        <v>2641.2</v>
      </c>
      <c r="K31" s="17">
        <f t="shared" ref="K31" si="175">J29</f>
        <v>2543.1999999999998</v>
      </c>
      <c r="L31" s="19">
        <f t="shared" ref="L31" si="176">J31-K31</f>
        <v>98</v>
      </c>
      <c r="M31" s="17">
        <f>M29</f>
        <v>1</v>
      </c>
      <c r="N31" s="19">
        <f t="shared" ref="N31" si="177">L31*M31</f>
        <v>98</v>
      </c>
      <c r="O31" s="17">
        <f t="shared" ref="O31" si="178">N31-I31</f>
        <v>-20</v>
      </c>
      <c r="P31" s="12">
        <v>5397.3</v>
      </c>
      <c r="Q31" s="17">
        <f t="shared" ref="Q31" si="179">P29</f>
        <v>5231.3</v>
      </c>
      <c r="R31" s="19">
        <f t="shared" ref="R31" si="180">P31-Q31</f>
        <v>166</v>
      </c>
      <c r="S31" s="17">
        <f>S29</f>
        <v>1</v>
      </c>
      <c r="T31" s="19">
        <f t="shared" ref="T31" si="181">R31*S31</f>
        <v>166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160</v>
      </c>
      <c r="D32" s="19" t="s">
        <v>124</v>
      </c>
      <c r="E32" s="12">
        <v>2428.3000000000002</v>
      </c>
      <c r="F32" s="17">
        <f t="shared" ref="F32" si="182">E31</f>
        <v>2366.8000000000002</v>
      </c>
      <c r="G32" s="19">
        <f t="shared" ref="G32" si="183">E32-F32</f>
        <v>61.5</v>
      </c>
      <c r="H32" s="91">
        <f t="shared" si="76"/>
        <v>1</v>
      </c>
      <c r="I32" s="19">
        <f t="shared" ref="I32" si="184">G32*H32</f>
        <v>61.5</v>
      </c>
      <c r="J32" s="12">
        <v>2796.8</v>
      </c>
      <c r="K32" s="17">
        <f t="shared" ref="K32" si="185">J31</f>
        <v>2641.2</v>
      </c>
      <c r="L32" s="19">
        <f t="shared" ref="L32" si="186">J32-K32</f>
        <v>155.60000000000036</v>
      </c>
      <c r="M32" s="17">
        <f t="shared" si="80"/>
        <v>1</v>
      </c>
      <c r="N32" s="19">
        <f t="shared" ref="N32" si="187">L32*M32</f>
        <v>155.60000000000036</v>
      </c>
      <c r="O32" s="17">
        <f t="shared" ref="O32" si="188">N32-I32</f>
        <v>94.100000000000364</v>
      </c>
      <c r="P32" s="12">
        <v>5611.7</v>
      </c>
      <c r="Q32" s="17">
        <f t="shared" ref="Q32" si="189">P31</f>
        <v>5397.3</v>
      </c>
      <c r="R32" s="19">
        <f t="shared" ref="R32" si="190">P32-Q32</f>
        <v>214.39999999999964</v>
      </c>
      <c r="S32" s="17">
        <f t="shared" si="85"/>
        <v>1</v>
      </c>
      <c r="T32" s="19">
        <f t="shared" ref="T32" si="191">R32*S32</f>
        <v>214.39999999999964</v>
      </c>
      <c r="U32" s="19">
        <v>1.45</v>
      </c>
      <c r="V32" s="19">
        <v>0.9</v>
      </c>
      <c r="W32" s="25"/>
    </row>
    <row r="33" spans="1:23" ht="15.75" x14ac:dyDescent="0.25">
      <c r="A33" s="12">
        <v>25</v>
      </c>
      <c r="B33" s="22" t="s">
        <v>281</v>
      </c>
      <c r="C33" s="19" t="s">
        <v>160</v>
      </c>
      <c r="D33" s="19" t="s">
        <v>124</v>
      </c>
      <c r="E33" s="12">
        <v>2510.3000000000002</v>
      </c>
      <c r="F33" s="17">
        <f t="shared" ref="F33" si="192">E32</f>
        <v>2428.3000000000002</v>
      </c>
      <c r="G33" s="19">
        <f t="shared" ref="G33" si="193">E33-F33</f>
        <v>82</v>
      </c>
      <c r="H33" s="91">
        <f t="shared" si="76"/>
        <v>1</v>
      </c>
      <c r="I33" s="19">
        <f t="shared" ref="I33" si="194">G33*H33</f>
        <v>82</v>
      </c>
      <c r="J33" s="12">
        <v>2930.3</v>
      </c>
      <c r="K33" s="17">
        <f t="shared" ref="K33" si="195">J32</f>
        <v>2796.8</v>
      </c>
      <c r="L33" s="19">
        <f t="shared" ref="L33" si="196">J33-K33</f>
        <v>133.5</v>
      </c>
      <c r="M33" s="17">
        <f t="shared" si="80"/>
        <v>1</v>
      </c>
      <c r="N33" s="19">
        <f t="shared" ref="N33" si="197">L33*M33</f>
        <v>133.5</v>
      </c>
      <c r="O33" s="17">
        <f t="shared" ref="O33" si="198">N33-I33</f>
        <v>51.5</v>
      </c>
      <c r="P33" s="12">
        <v>5812.4</v>
      </c>
      <c r="Q33" s="17">
        <f t="shared" ref="Q33" si="199">P32</f>
        <v>5611.7</v>
      </c>
      <c r="R33" s="19">
        <f t="shared" ref="R33" si="200">P33-Q33</f>
        <v>200.69999999999982</v>
      </c>
      <c r="S33" s="17">
        <f t="shared" si="85"/>
        <v>1</v>
      </c>
      <c r="T33" s="19">
        <f t="shared" ref="T33" si="201">R33*S33</f>
        <v>200.69999999999982</v>
      </c>
      <c r="U33" s="19">
        <v>1.76</v>
      </c>
      <c r="V33" s="19">
        <v>0.97</v>
      </c>
      <c r="W33" s="25"/>
    </row>
    <row r="34" spans="1:23" ht="15.75" x14ac:dyDescent="0.25">
      <c r="A34" s="12">
        <v>26</v>
      </c>
      <c r="B34" s="22" t="s">
        <v>282</v>
      </c>
      <c r="C34" s="19" t="s">
        <v>160</v>
      </c>
      <c r="D34" s="19" t="s">
        <v>124</v>
      </c>
      <c r="E34" s="12">
        <v>2592.6999999999998</v>
      </c>
      <c r="F34" s="17">
        <f t="shared" ref="F34" si="202">E33</f>
        <v>2510.3000000000002</v>
      </c>
      <c r="G34" s="19">
        <f t="shared" ref="G34" si="203">E34-F34</f>
        <v>82.399999999999636</v>
      </c>
      <c r="H34" s="91">
        <f t="shared" si="76"/>
        <v>1</v>
      </c>
      <c r="I34" s="19">
        <f t="shared" ref="I34" si="204">G34*H34</f>
        <v>82.399999999999636</v>
      </c>
      <c r="J34" s="12">
        <v>3046.3</v>
      </c>
      <c r="K34" s="17">
        <f t="shared" ref="K34" si="205">J33</f>
        <v>2930.3</v>
      </c>
      <c r="L34" s="19">
        <f t="shared" ref="L34" si="206">J34-K34</f>
        <v>116</v>
      </c>
      <c r="M34" s="17">
        <f t="shared" si="80"/>
        <v>1</v>
      </c>
      <c r="N34" s="19">
        <f t="shared" ref="N34" si="207">L34*M34</f>
        <v>116</v>
      </c>
      <c r="O34" s="17">
        <f t="shared" ref="O34" si="208">N34-I34</f>
        <v>33.600000000000364</v>
      </c>
      <c r="P34" s="12">
        <v>6009.8</v>
      </c>
      <c r="Q34" s="17">
        <f t="shared" ref="Q34" si="209">P33</f>
        <v>5812.4</v>
      </c>
      <c r="R34" s="19">
        <f t="shared" ref="R34" si="210">P34-Q34</f>
        <v>197.40000000000055</v>
      </c>
      <c r="S34" s="17">
        <f t="shared" si="85"/>
        <v>1</v>
      </c>
      <c r="T34" s="19">
        <f t="shared" ref="T34" si="211">R34*S34</f>
        <v>197.40000000000055</v>
      </c>
      <c r="U34" s="19"/>
      <c r="V34" s="19">
        <v>0.86</v>
      </c>
      <c r="W34" s="25"/>
    </row>
    <row r="35" spans="1:23" ht="15.75" x14ac:dyDescent="0.25">
      <c r="A35" s="12">
        <v>27</v>
      </c>
      <c r="B35" s="22" t="s">
        <v>283</v>
      </c>
      <c r="C35" s="19" t="s">
        <v>160</v>
      </c>
      <c r="D35" s="19" t="s">
        <v>124</v>
      </c>
      <c r="E35" s="12">
        <v>2681.4</v>
      </c>
      <c r="F35" s="17">
        <f t="shared" ref="F35" si="212">E34</f>
        <v>2592.6999999999998</v>
      </c>
      <c r="G35" s="19">
        <f t="shared" ref="G35" si="213">E35-F35</f>
        <v>88.700000000000273</v>
      </c>
      <c r="H35" s="91">
        <f t="shared" si="76"/>
        <v>1</v>
      </c>
      <c r="I35" s="19">
        <f t="shared" ref="I35" si="214">G35*H35</f>
        <v>88.700000000000273</v>
      </c>
      <c r="J35" s="12">
        <v>3175.1</v>
      </c>
      <c r="K35" s="17">
        <f t="shared" ref="K35" si="215">J34</f>
        <v>3046.3</v>
      </c>
      <c r="L35" s="19">
        <f t="shared" ref="L35" si="216">J35-K35</f>
        <v>128.79999999999973</v>
      </c>
      <c r="M35" s="17">
        <f t="shared" si="80"/>
        <v>1</v>
      </c>
      <c r="N35" s="19">
        <f t="shared" ref="N35" si="217">L35*M35</f>
        <v>128.79999999999973</v>
      </c>
      <c r="O35" s="17">
        <f t="shared" ref="O35" si="218">N35-I35</f>
        <v>40.099999999999454</v>
      </c>
      <c r="P35" s="12">
        <v>6201.9</v>
      </c>
      <c r="Q35" s="17">
        <f t="shared" ref="Q35" si="219">P34</f>
        <v>6009.8</v>
      </c>
      <c r="R35" s="19">
        <f t="shared" ref="R35" si="220">P35-Q35</f>
        <v>192.09999999999945</v>
      </c>
      <c r="S35" s="17">
        <f t="shared" si="85"/>
        <v>1</v>
      </c>
      <c r="T35" s="19">
        <f t="shared" ref="T35" si="221">R35*S35</f>
        <v>192.09999999999945</v>
      </c>
      <c r="U35" s="19">
        <v>1.77</v>
      </c>
      <c r="V35" s="19">
        <v>0.86</v>
      </c>
      <c r="W35" s="25"/>
    </row>
    <row r="36" spans="1:23" ht="15.75" x14ac:dyDescent="0.25">
      <c r="A36" s="12">
        <v>28</v>
      </c>
      <c r="B36" s="22" t="s">
        <v>284</v>
      </c>
      <c r="C36" s="19" t="s">
        <v>160</v>
      </c>
      <c r="D36" s="19" t="s">
        <v>124</v>
      </c>
      <c r="E36" s="12">
        <v>2771.2</v>
      </c>
      <c r="F36" s="17">
        <f t="shared" ref="F36" si="222">E35</f>
        <v>2681.4</v>
      </c>
      <c r="G36" s="19">
        <f t="shared" ref="G36" si="223">E36-F36</f>
        <v>89.799999999999727</v>
      </c>
      <c r="H36" s="91">
        <f t="shared" si="76"/>
        <v>1</v>
      </c>
      <c r="I36" s="19">
        <f t="shared" ref="I36" si="224">G36*H36</f>
        <v>89.799999999999727</v>
      </c>
      <c r="J36" s="12">
        <v>3321.7</v>
      </c>
      <c r="K36" s="17">
        <f t="shared" ref="K36" si="225">J35</f>
        <v>3175.1</v>
      </c>
      <c r="L36" s="19">
        <f t="shared" ref="L36" si="226">J36-K36</f>
        <v>146.59999999999991</v>
      </c>
      <c r="M36" s="17">
        <f t="shared" si="80"/>
        <v>1</v>
      </c>
      <c r="N36" s="19">
        <f t="shared" ref="N36" si="227">L36*M36</f>
        <v>146.59999999999991</v>
      </c>
      <c r="O36" s="17">
        <f t="shared" ref="O36" si="228">N36-I36</f>
        <v>56.800000000000182</v>
      </c>
      <c r="P36" s="12">
        <v>6421.3</v>
      </c>
      <c r="Q36" s="17">
        <f t="shared" ref="Q36" si="229">P35</f>
        <v>6201.9</v>
      </c>
      <c r="R36" s="19">
        <f t="shared" ref="R36" si="230">P36-Q36</f>
        <v>219.40000000000055</v>
      </c>
      <c r="S36" s="17">
        <f t="shared" si="85"/>
        <v>1</v>
      </c>
      <c r="T36" s="19">
        <f t="shared" ref="T36" si="231">R36*S36</f>
        <v>219.40000000000055</v>
      </c>
      <c r="U36" s="19">
        <v>1.78</v>
      </c>
      <c r="V36" s="19">
        <v>0.95</v>
      </c>
      <c r="W36" s="25"/>
    </row>
    <row r="37" spans="1:23" ht="15.75" x14ac:dyDescent="0.25">
      <c r="A37" s="12">
        <v>29</v>
      </c>
      <c r="B37" s="22" t="s">
        <v>286</v>
      </c>
      <c r="C37" s="19" t="s">
        <v>160</v>
      </c>
      <c r="D37" s="19" t="s">
        <v>124</v>
      </c>
      <c r="E37" s="12">
        <v>2861.8</v>
      </c>
      <c r="F37" s="17">
        <f t="shared" ref="F37" si="232">E36</f>
        <v>2771.2</v>
      </c>
      <c r="G37" s="19">
        <f t="shared" ref="G37" si="233">E37-F37</f>
        <v>90.600000000000364</v>
      </c>
      <c r="H37" s="91">
        <f t="shared" si="76"/>
        <v>1</v>
      </c>
      <c r="I37" s="19">
        <f t="shared" ref="I37" si="234">G37*H37</f>
        <v>90.600000000000364</v>
      </c>
      <c r="J37" s="12">
        <v>3468.9</v>
      </c>
      <c r="K37" s="17">
        <f t="shared" ref="K37" si="235">J36</f>
        <v>3321.7</v>
      </c>
      <c r="L37" s="19">
        <f t="shared" ref="L37" si="236">J37-K37</f>
        <v>147.20000000000027</v>
      </c>
      <c r="M37" s="17">
        <f t="shared" si="80"/>
        <v>1</v>
      </c>
      <c r="N37" s="19">
        <f t="shared" ref="N37" si="237">L37*M37</f>
        <v>147.20000000000027</v>
      </c>
      <c r="O37" s="17">
        <f t="shared" ref="O37" si="238">N37-I37</f>
        <v>56.599999999999909</v>
      </c>
      <c r="P37" s="12">
        <v>6664.4</v>
      </c>
      <c r="Q37" s="17">
        <f t="shared" ref="Q37" si="239">P36</f>
        <v>6421.3</v>
      </c>
      <c r="R37" s="19">
        <f t="shared" ref="R37" si="240">P37-Q37</f>
        <v>243.09999999999945</v>
      </c>
      <c r="S37" s="17">
        <f t="shared" si="85"/>
        <v>1</v>
      </c>
      <c r="T37" s="19">
        <f t="shared" ref="T37" si="241">R37*S37</f>
        <v>243.09999999999945</v>
      </c>
      <c r="U37" s="19">
        <v>1.03</v>
      </c>
      <c r="V37" s="19">
        <v>0.91</v>
      </c>
      <c r="W37" s="25"/>
    </row>
    <row r="38" spans="1:23" ht="15.75" x14ac:dyDescent="0.25">
      <c r="A38" s="12">
        <v>30</v>
      </c>
      <c r="B38" s="22" t="s">
        <v>288</v>
      </c>
      <c r="C38" s="19" t="s">
        <v>160</v>
      </c>
      <c r="D38" s="19" t="s">
        <v>124</v>
      </c>
      <c r="E38" s="12">
        <v>2951.2</v>
      </c>
      <c r="F38" s="17">
        <f t="shared" ref="F38" si="242">E37</f>
        <v>2861.8</v>
      </c>
      <c r="G38" s="19">
        <f t="shared" ref="G38" si="243">E38-F38</f>
        <v>89.399999999999636</v>
      </c>
      <c r="H38" s="91">
        <f t="shared" si="76"/>
        <v>1</v>
      </c>
      <c r="I38" s="19">
        <f t="shared" ref="I38" si="244">G38*H38</f>
        <v>89.399999999999636</v>
      </c>
      <c r="J38" s="12">
        <v>3534.2</v>
      </c>
      <c r="K38" s="17">
        <f t="shared" ref="K38" si="245">J37</f>
        <v>3468.9</v>
      </c>
      <c r="L38" s="19">
        <f t="shared" ref="L38" si="246">J38-K38</f>
        <v>65.299999999999727</v>
      </c>
      <c r="M38" s="17">
        <f t="shared" si="80"/>
        <v>1</v>
      </c>
      <c r="N38" s="19">
        <f t="shared" ref="N38" si="247">L38*M38</f>
        <v>65.299999999999727</v>
      </c>
      <c r="O38" s="17">
        <f t="shared" ref="O38" si="248">N38-I38</f>
        <v>-24.099999999999909</v>
      </c>
      <c r="P38" s="12">
        <v>6755.8</v>
      </c>
      <c r="Q38" s="17">
        <f t="shared" ref="Q38" si="249">P37</f>
        <v>6664.4</v>
      </c>
      <c r="R38" s="19">
        <f t="shared" ref="R38" si="250">P38-Q38</f>
        <v>91.400000000000546</v>
      </c>
      <c r="S38" s="17">
        <f t="shared" si="85"/>
        <v>1</v>
      </c>
      <c r="T38" s="19">
        <f t="shared" ref="T38" si="251">R38*S38</f>
        <v>91.400000000000546</v>
      </c>
      <c r="U38" s="19">
        <v>2.13</v>
      </c>
      <c r="V38" s="19">
        <v>0.9</v>
      </c>
      <c r="W38" s="25"/>
    </row>
    <row r="39" spans="1:23" ht="15.75" x14ac:dyDescent="0.25">
      <c r="A39" s="12">
        <v>31</v>
      </c>
      <c r="B39" s="22" t="s">
        <v>289</v>
      </c>
      <c r="C39" s="19" t="s">
        <v>160</v>
      </c>
      <c r="D39" s="19" t="s">
        <v>124</v>
      </c>
      <c r="E39" s="12">
        <v>2951.2</v>
      </c>
      <c r="F39" s="17">
        <f t="shared" ref="F39" si="252">E38</f>
        <v>2951.2</v>
      </c>
      <c r="G39" s="19">
        <f t="shared" ref="G39" si="253">E39-F39</f>
        <v>0</v>
      </c>
      <c r="H39" s="91">
        <f t="shared" si="76"/>
        <v>1</v>
      </c>
      <c r="I39" s="19">
        <f t="shared" ref="I39" si="254">G39*H39</f>
        <v>0</v>
      </c>
      <c r="J39" s="12">
        <v>3534.2</v>
      </c>
      <c r="K39" s="17">
        <f t="shared" ref="K39" si="255">J38</f>
        <v>3534.2</v>
      </c>
      <c r="L39" s="19">
        <f t="shared" ref="L39" si="256">J39-K39</f>
        <v>0</v>
      </c>
      <c r="M39" s="17">
        <f t="shared" si="80"/>
        <v>1</v>
      </c>
      <c r="N39" s="19">
        <f t="shared" ref="N39" si="257">L39*M39</f>
        <v>0</v>
      </c>
      <c r="O39" s="17">
        <f t="shared" ref="O39" si="258">N39-I39</f>
        <v>0</v>
      </c>
      <c r="P39" s="12">
        <v>6856.6</v>
      </c>
      <c r="Q39" s="17">
        <f t="shared" ref="Q39" si="259">P38</f>
        <v>6755.8</v>
      </c>
      <c r="R39" s="19">
        <f t="shared" ref="R39" si="260">P39-Q39</f>
        <v>100.80000000000018</v>
      </c>
      <c r="S39" s="17">
        <f t="shared" si="85"/>
        <v>1</v>
      </c>
      <c r="T39" s="19">
        <f t="shared" ref="T39" si="261">R39*S39</f>
        <v>100.80000000000018</v>
      </c>
      <c r="U39" s="19">
        <v>2.13</v>
      </c>
      <c r="V39" s="19">
        <v>0.87</v>
      </c>
      <c r="W39" s="25"/>
    </row>
    <row r="40" spans="1:23" ht="15.75" x14ac:dyDescent="0.25">
      <c r="A40" s="12">
        <v>32</v>
      </c>
      <c r="B40" s="22" t="s">
        <v>290</v>
      </c>
      <c r="C40" s="19" t="s">
        <v>160</v>
      </c>
      <c r="D40" s="19" t="s">
        <v>124</v>
      </c>
      <c r="E40" s="12">
        <v>3126.9</v>
      </c>
      <c r="F40" s="17">
        <f t="shared" ref="F40" si="262">E39</f>
        <v>2951.2</v>
      </c>
      <c r="G40" s="19">
        <f t="shared" ref="G40" si="263">E40-F40</f>
        <v>175.70000000000027</v>
      </c>
      <c r="H40" s="91">
        <f t="shared" si="76"/>
        <v>1</v>
      </c>
      <c r="I40" s="19">
        <f t="shared" ref="I40" si="264">G40*H40</f>
        <v>175.70000000000027</v>
      </c>
      <c r="J40" s="12">
        <v>3688.3</v>
      </c>
      <c r="K40" s="17">
        <f t="shared" ref="K40" si="265">J39</f>
        <v>3534.2</v>
      </c>
      <c r="L40" s="19">
        <f t="shared" ref="L40" si="266">J40-K40</f>
        <v>154.10000000000036</v>
      </c>
      <c r="M40" s="17">
        <f t="shared" si="80"/>
        <v>1</v>
      </c>
      <c r="N40" s="19">
        <f t="shared" ref="N40" si="267">L40*M40</f>
        <v>154.10000000000036</v>
      </c>
      <c r="O40" s="17">
        <f t="shared" ref="O40" si="268">N40-I40</f>
        <v>-21.599999999999909</v>
      </c>
      <c r="P40" s="12">
        <v>6992.4</v>
      </c>
      <c r="Q40" s="17">
        <f t="shared" ref="Q40" si="269">P39</f>
        <v>6856.6</v>
      </c>
      <c r="R40" s="19">
        <f t="shared" ref="R40" si="270">P40-Q40</f>
        <v>135.79999999999927</v>
      </c>
      <c r="S40" s="17">
        <f t="shared" si="85"/>
        <v>1</v>
      </c>
      <c r="T40" s="19">
        <f t="shared" ref="T40" si="271">R40*S40</f>
        <v>135.79999999999927</v>
      </c>
      <c r="U40" s="19">
        <v>1.84</v>
      </c>
      <c r="V40" s="19">
        <v>0.92</v>
      </c>
      <c r="W40" s="25"/>
    </row>
    <row r="41" spans="1:23" ht="15.75" x14ac:dyDescent="0.25">
      <c r="A41" s="12">
        <v>33</v>
      </c>
      <c r="B41" s="22" t="s">
        <v>291</v>
      </c>
      <c r="C41" s="19" t="s">
        <v>160</v>
      </c>
      <c r="D41" s="19" t="s">
        <v>124</v>
      </c>
      <c r="E41" s="12">
        <v>3220.9</v>
      </c>
      <c r="F41" s="17">
        <f t="shared" ref="F41:F48" si="272">E40</f>
        <v>3126.9</v>
      </c>
      <c r="G41" s="19">
        <f t="shared" ref="G41:G48" si="273">E41-F41</f>
        <v>94</v>
      </c>
      <c r="H41" s="91">
        <f t="shared" si="76"/>
        <v>1</v>
      </c>
      <c r="I41" s="19">
        <f t="shared" ref="I41:I48" si="274">G41*H41</f>
        <v>94</v>
      </c>
      <c r="J41" s="12">
        <v>3786.6</v>
      </c>
      <c r="K41" s="17">
        <f t="shared" ref="K41:K48" si="275">J40</f>
        <v>3688.3</v>
      </c>
      <c r="L41" s="19">
        <f t="shared" ref="L41:L48" si="276">J41-K41</f>
        <v>98.299999999999727</v>
      </c>
      <c r="M41" s="17">
        <f t="shared" si="80"/>
        <v>1</v>
      </c>
      <c r="N41" s="19">
        <f t="shared" ref="N41:N48" si="277">L41*M41</f>
        <v>98.299999999999727</v>
      </c>
      <c r="O41" s="17">
        <f t="shared" ref="O41:O48" si="278">N41-I41</f>
        <v>4.2999999999997272</v>
      </c>
      <c r="P41" s="12">
        <v>7148</v>
      </c>
      <c r="Q41" s="17">
        <f t="shared" ref="Q41:Q48" si="279">P40</f>
        <v>6992.4</v>
      </c>
      <c r="R41" s="19">
        <f t="shared" ref="R41:R48" si="280">P41-Q41</f>
        <v>155.60000000000036</v>
      </c>
      <c r="S41" s="17">
        <f t="shared" si="85"/>
        <v>1</v>
      </c>
      <c r="T41" s="19">
        <f t="shared" ref="T41:T48" si="281">R41*S41</f>
        <v>155.60000000000036</v>
      </c>
      <c r="U41" s="19">
        <v>0.94</v>
      </c>
      <c r="V41" s="19">
        <v>0.98</v>
      </c>
      <c r="W41" s="25"/>
    </row>
    <row r="42" spans="1:23" ht="15.75" x14ac:dyDescent="0.25">
      <c r="A42" s="12">
        <v>34</v>
      </c>
      <c r="B42" s="22" t="s">
        <v>292</v>
      </c>
      <c r="C42" s="19" t="s">
        <v>160</v>
      </c>
      <c r="D42" s="19" t="s">
        <v>124</v>
      </c>
      <c r="E42" s="12">
        <v>3326.4</v>
      </c>
      <c r="F42" s="17">
        <f t="shared" si="272"/>
        <v>3220.9</v>
      </c>
      <c r="G42" s="19">
        <f t="shared" si="273"/>
        <v>105.5</v>
      </c>
      <c r="H42" s="91">
        <f t="shared" si="76"/>
        <v>1</v>
      </c>
      <c r="I42" s="19">
        <f t="shared" si="274"/>
        <v>105.5</v>
      </c>
      <c r="J42" s="12">
        <v>3930.8</v>
      </c>
      <c r="K42" s="17">
        <f t="shared" si="275"/>
        <v>3786.6</v>
      </c>
      <c r="L42" s="19">
        <f t="shared" si="276"/>
        <v>144.20000000000027</v>
      </c>
      <c r="M42" s="17">
        <f t="shared" si="80"/>
        <v>1</v>
      </c>
      <c r="N42" s="19">
        <f t="shared" si="277"/>
        <v>144.20000000000027</v>
      </c>
      <c r="O42" s="17">
        <f t="shared" si="278"/>
        <v>38.700000000000273</v>
      </c>
      <c r="P42" s="12">
        <v>7359.1</v>
      </c>
      <c r="Q42" s="17">
        <f t="shared" si="279"/>
        <v>7148</v>
      </c>
      <c r="R42" s="19">
        <f t="shared" si="280"/>
        <v>211.10000000000036</v>
      </c>
      <c r="S42" s="17">
        <f t="shared" si="85"/>
        <v>1</v>
      </c>
      <c r="T42" s="19">
        <f t="shared" si="281"/>
        <v>211.10000000000036</v>
      </c>
      <c r="U42" s="19">
        <v>2.04</v>
      </c>
      <c r="V42" s="19">
        <v>0.98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160</v>
      </c>
      <c r="D44" s="19" t="s">
        <v>124</v>
      </c>
      <c r="E44" s="12">
        <v>3415.7</v>
      </c>
      <c r="F44" s="17">
        <f>E42</f>
        <v>3326.4</v>
      </c>
      <c r="G44" s="19">
        <f t="shared" si="273"/>
        <v>89.299999999999727</v>
      </c>
      <c r="H44" s="91">
        <f>H42</f>
        <v>1</v>
      </c>
      <c r="I44" s="19">
        <f t="shared" si="274"/>
        <v>89.299999999999727</v>
      </c>
      <c r="J44" s="12">
        <v>4087.5</v>
      </c>
      <c r="K44" s="17">
        <f>J42</f>
        <v>3930.8</v>
      </c>
      <c r="L44" s="19">
        <f t="shared" si="276"/>
        <v>156.69999999999982</v>
      </c>
      <c r="M44" s="17">
        <f>M42</f>
        <v>1</v>
      </c>
      <c r="N44" s="19">
        <f t="shared" si="277"/>
        <v>156.69999999999982</v>
      </c>
      <c r="O44" s="17">
        <f t="shared" si="278"/>
        <v>67.400000000000091</v>
      </c>
      <c r="P44" s="12">
        <v>7610.6</v>
      </c>
      <c r="Q44" s="17">
        <f>P42</f>
        <v>7359.1</v>
      </c>
      <c r="R44" s="19">
        <f t="shared" si="280"/>
        <v>251.5</v>
      </c>
      <c r="S44" s="17">
        <f>S42</f>
        <v>1</v>
      </c>
      <c r="T44" s="19">
        <f t="shared" si="281"/>
        <v>251.5</v>
      </c>
      <c r="U44" s="19">
        <v>0.9</v>
      </c>
      <c r="V44" s="19">
        <v>0.96</v>
      </c>
      <c r="W44" s="25"/>
    </row>
    <row r="45" spans="1:23" ht="15.75" x14ac:dyDescent="0.25">
      <c r="A45" s="12">
        <v>36</v>
      </c>
      <c r="B45" s="22" t="s">
        <v>294</v>
      </c>
      <c r="C45" s="19" t="s">
        <v>160</v>
      </c>
      <c r="D45" s="19" t="s">
        <v>124</v>
      </c>
      <c r="E45" s="12">
        <v>3510.2</v>
      </c>
      <c r="F45" s="17">
        <f t="shared" si="272"/>
        <v>3415.7</v>
      </c>
      <c r="G45" s="19">
        <f t="shared" si="273"/>
        <v>94.5</v>
      </c>
      <c r="H45" s="91">
        <f t="shared" si="76"/>
        <v>1</v>
      </c>
      <c r="I45" s="19">
        <f t="shared" si="274"/>
        <v>94.5</v>
      </c>
      <c r="J45" s="12">
        <v>4211.7</v>
      </c>
      <c r="K45" s="17">
        <f t="shared" si="275"/>
        <v>4087.5</v>
      </c>
      <c r="L45" s="19">
        <f t="shared" si="276"/>
        <v>124.19999999999982</v>
      </c>
      <c r="M45" s="17">
        <f t="shared" si="80"/>
        <v>1</v>
      </c>
      <c r="N45" s="19">
        <f t="shared" si="277"/>
        <v>124.19999999999982</v>
      </c>
      <c r="O45" s="17">
        <f t="shared" si="278"/>
        <v>29.699999999999818</v>
      </c>
      <c r="P45" s="12">
        <v>7774.2</v>
      </c>
      <c r="Q45" s="17">
        <f t="shared" si="279"/>
        <v>7610.6</v>
      </c>
      <c r="R45" s="19">
        <f t="shared" si="280"/>
        <v>163.59999999999945</v>
      </c>
      <c r="S45" s="17">
        <f t="shared" si="85"/>
        <v>1</v>
      </c>
      <c r="T45" s="19">
        <f t="shared" si="281"/>
        <v>163.59999999999945</v>
      </c>
      <c r="U45" s="19">
        <v>1.6</v>
      </c>
      <c r="V45" s="19">
        <v>0.85</v>
      </c>
      <c r="W45" s="25"/>
    </row>
    <row r="46" spans="1:23" ht="15.75" x14ac:dyDescent="0.25">
      <c r="A46" s="12">
        <v>37</v>
      </c>
      <c r="B46" s="22" t="s">
        <v>295</v>
      </c>
      <c r="C46" s="19" t="s">
        <v>160</v>
      </c>
      <c r="D46" s="19" t="s">
        <v>124</v>
      </c>
      <c r="E46" s="12">
        <v>3603.7</v>
      </c>
      <c r="F46" s="17">
        <f t="shared" si="272"/>
        <v>3510.2</v>
      </c>
      <c r="G46" s="19">
        <f t="shared" si="273"/>
        <v>93.5</v>
      </c>
      <c r="H46" s="91">
        <f t="shared" si="76"/>
        <v>1</v>
      </c>
      <c r="I46" s="19">
        <f t="shared" si="274"/>
        <v>93.5</v>
      </c>
      <c r="J46" s="12">
        <v>4338.5</v>
      </c>
      <c r="K46" s="17">
        <f t="shared" si="275"/>
        <v>4211.7</v>
      </c>
      <c r="L46" s="19">
        <f t="shared" si="276"/>
        <v>126.80000000000018</v>
      </c>
      <c r="M46" s="17">
        <f t="shared" si="80"/>
        <v>1</v>
      </c>
      <c r="N46" s="19">
        <f t="shared" si="277"/>
        <v>126.80000000000018</v>
      </c>
      <c r="O46" s="17">
        <f t="shared" si="278"/>
        <v>33.300000000000182</v>
      </c>
      <c r="P46" s="12">
        <v>7972.8</v>
      </c>
      <c r="Q46" s="17">
        <f t="shared" si="279"/>
        <v>7774.2</v>
      </c>
      <c r="R46" s="19">
        <f t="shared" si="280"/>
        <v>198.60000000000036</v>
      </c>
      <c r="S46" s="17">
        <f t="shared" si="85"/>
        <v>1</v>
      </c>
      <c r="T46" s="19">
        <f t="shared" si="281"/>
        <v>198.60000000000036</v>
      </c>
      <c r="U46" s="19">
        <v>0.94</v>
      </c>
      <c r="V46" s="19">
        <v>0.94</v>
      </c>
      <c r="W46" s="25"/>
    </row>
    <row r="47" spans="1:23" ht="15.75" x14ac:dyDescent="0.25">
      <c r="A47" s="12">
        <v>38</v>
      </c>
      <c r="B47" s="22" t="s">
        <v>296</v>
      </c>
      <c r="C47" s="19" t="s">
        <v>160</v>
      </c>
      <c r="D47" s="19" t="s">
        <v>124</v>
      </c>
      <c r="E47" s="12">
        <v>3694.6</v>
      </c>
      <c r="F47" s="17">
        <f t="shared" si="272"/>
        <v>3603.7</v>
      </c>
      <c r="G47" s="19">
        <f t="shared" si="273"/>
        <v>90.900000000000091</v>
      </c>
      <c r="H47" s="91">
        <f t="shared" si="76"/>
        <v>1</v>
      </c>
      <c r="I47" s="19">
        <f t="shared" si="274"/>
        <v>90.900000000000091</v>
      </c>
      <c r="J47" s="12">
        <v>4431</v>
      </c>
      <c r="K47" s="17">
        <f t="shared" si="275"/>
        <v>4338.5</v>
      </c>
      <c r="L47" s="19">
        <f t="shared" si="276"/>
        <v>92.5</v>
      </c>
      <c r="M47" s="17">
        <f t="shared" si="80"/>
        <v>1</v>
      </c>
      <c r="N47" s="19">
        <f t="shared" si="277"/>
        <v>92.5</v>
      </c>
      <c r="O47" s="17">
        <f t="shared" si="278"/>
        <v>1.5999999999999091</v>
      </c>
      <c r="P47" s="12">
        <v>8121</v>
      </c>
      <c r="Q47" s="17">
        <f t="shared" si="279"/>
        <v>7972.8</v>
      </c>
      <c r="R47" s="19">
        <f t="shared" si="280"/>
        <v>148.19999999999982</v>
      </c>
      <c r="S47" s="17">
        <f t="shared" si="85"/>
        <v>1</v>
      </c>
      <c r="T47" s="19">
        <f t="shared" si="281"/>
        <v>148.19999999999982</v>
      </c>
      <c r="U47" s="19">
        <v>1.98</v>
      </c>
      <c r="V47" s="19">
        <v>0.96</v>
      </c>
      <c r="W47" s="25"/>
    </row>
    <row r="48" spans="1:23" ht="15.75" x14ac:dyDescent="0.25">
      <c r="A48" s="12">
        <v>39</v>
      </c>
      <c r="B48" s="22" t="s">
        <v>297</v>
      </c>
      <c r="C48" s="19" t="s">
        <v>160</v>
      </c>
      <c r="D48" s="19" t="s">
        <v>124</v>
      </c>
      <c r="E48" s="12">
        <v>3789.6</v>
      </c>
      <c r="F48" s="17">
        <f t="shared" si="272"/>
        <v>3694.6</v>
      </c>
      <c r="G48" s="19">
        <f t="shared" si="273"/>
        <v>95</v>
      </c>
      <c r="H48" s="91">
        <f t="shared" si="76"/>
        <v>1</v>
      </c>
      <c r="I48" s="19">
        <f t="shared" si="274"/>
        <v>95</v>
      </c>
      <c r="J48" s="12">
        <v>4521.5</v>
      </c>
      <c r="K48" s="17">
        <f t="shared" si="275"/>
        <v>4431</v>
      </c>
      <c r="L48" s="19">
        <f t="shared" si="276"/>
        <v>90.5</v>
      </c>
      <c r="M48" s="17">
        <f t="shared" si="80"/>
        <v>1</v>
      </c>
      <c r="N48" s="19">
        <f t="shared" si="277"/>
        <v>90.5</v>
      </c>
      <c r="O48" s="17">
        <f t="shared" si="278"/>
        <v>-4.5</v>
      </c>
      <c r="P48" s="12">
        <v>8276.6</v>
      </c>
      <c r="Q48" s="17">
        <f t="shared" si="279"/>
        <v>8121</v>
      </c>
      <c r="R48" s="19">
        <f t="shared" si="280"/>
        <v>155.60000000000036</v>
      </c>
      <c r="S48" s="17">
        <f t="shared" si="85"/>
        <v>1</v>
      </c>
      <c r="T48" s="19">
        <f t="shared" si="281"/>
        <v>155.60000000000036</v>
      </c>
      <c r="U48" s="19">
        <v>1.38</v>
      </c>
      <c r="V48" s="19">
        <v>0.97</v>
      </c>
      <c r="W48" s="25"/>
    </row>
    <row r="49" spans="1:23" ht="15.75" x14ac:dyDescent="0.25">
      <c r="A49" s="12">
        <v>40</v>
      </c>
      <c r="B49" s="22" t="s">
        <v>298</v>
      </c>
      <c r="C49" s="19" t="s">
        <v>160</v>
      </c>
      <c r="D49" s="19" t="s">
        <v>124</v>
      </c>
      <c r="E49" s="12">
        <v>3877.5</v>
      </c>
      <c r="F49" s="17">
        <f t="shared" ref="F49" si="282">E48</f>
        <v>3789.6</v>
      </c>
      <c r="G49" s="19">
        <f t="shared" ref="G49" si="283">E49-F49</f>
        <v>87.900000000000091</v>
      </c>
      <c r="H49" s="91">
        <f t="shared" si="76"/>
        <v>1</v>
      </c>
      <c r="I49" s="19">
        <f t="shared" ref="I49" si="284">G49*H49</f>
        <v>87.900000000000091</v>
      </c>
      <c r="J49" s="12">
        <v>4645.2</v>
      </c>
      <c r="K49" s="17">
        <f t="shared" ref="K49" si="285">J48</f>
        <v>4521.5</v>
      </c>
      <c r="L49" s="19">
        <f t="shared" ref="L49" si="286">J49-K49</f>
        <v>123.69999999999982</v>
      </c>
      <c r="M49" s="17">
        <f t="shared" si="80"/>
        <v>1</v>
      </c>
      <c r="N49" s="19">
        <f t="shared" ref="N49" si="287">L49*M49</f>
        <v>123.69999999999982</v>
      </c>
      <c r="O49" s="17">
        <f t="shared" ref="O49" si="288">N49-I49</f>
        <v>35.799999999999727</v>
      </c>
      <c r="P49" s="12">
        <v>8455.2999999999993</v>
      </c>
      <c r="Q49" s="17">
        <f t="shared" ref="Q49" si="289">P48</f>
        <v>8276.6</v>
      </c>
      <c r="R49" s="19">
        <f t="shared" ref="R49" si="290">P49-Q49</f>
        <v>178.69999999999891</v>
      </c>
      <c r="S49" s="17">
        <f t="shared" si="85"/>
        <v>1</v>
      </c>
      <c r="T49" s="19">
        <f t="shared" ref="T49" si="291">R49*S49</f>
        <v>178.69999999999891</v>
      </c>
      <c r="U49" s="19">
        <v>0.89</v>
      </c>
      <c r="V49" s="19">
        <v>0.96</v>
      </c>
      <c r="W49" s="25"/>
    </row>
    <row r="50" spans="1:23" ht="15.75" x14ac:dyDescent="0.25">
      <c r="A50" s="12">
        <v>41</v>
      </c>
      <c r="B50" s="22" t="s">
        <v>299</v>
      </c>
      <c r="C50" s="19" t="s">
        <v>160</v>
      </c>
      <c r="D50" s="19" t="s">
        <v>124</v>
      </c>
      <c r="E50" s="12">
        <v>3971</v>
      </c>
      <c r="F50" s="17">
        <f t="shared" ref="F50" si="292">E49</f>
        <v>3877.5</v>
      </c>
      <c r="G50" s="19">
        <f t="shared" ref="G50" si="293">E50-F50</f>
        <v>93.5</v>
      </c>
      <c r="H50" s="91">
        <f t="shared" si="76"/>
        <v>1</v>
      </c>
      <c r="I50" s="19">
        <f t="shared" ref="I50" si="294">G50*H50</f>
        <v>93.5</v>
      </c>
      <c r="J50" s="12">
        <v>4759.8999999999996</v>
      </c>
      <c r="K50" s="17">
        <f t="shared" ref="K50" si="295">J49</f>
        <v>4645.2</v>
      </c>
      <c r="L50" s="19">
        <f t="shared" ref="L50" si="296">J50-K50</f>
        <v>114.69999999999982</v>
      </c>
      <c r="M50" s="17">
        <f t="shared" si="80"/>
        <v>1</v>
      </c>
      <c r="N50" s="19">
        <f t="shared" ref="N50" si="297">L50*M50</f>
        <v>114.69999999999982</v>
      </c>
      <c r="O50" s="17">
        <f t="shared" ref="O50" si="298">N50-I50</f>
        <v>21.199999999999818</v>
      </c>
      <c r="P50" s="12">
        <v>8630.5</v>
      </c>
      <c r="Q50" s="17">
        <f t="shared" ref="Q50" si="299">P49</f>
        <v>8455.2999999999993</v>
      </c>
      <c r="R50" s="19">
        <f t="shared" ref="R50" si="300">P50-Q50</f>
        <v>175.20000000000073</v>
      </c>
      <c r="S50" s="17">
        <f t="shared" si="85"/>
        <v>1</v>
      </c>
      <c r="T50" s="19">
        <f t="shared" ref="T50" si="301">R50*S50</f>
        <v>175.20000000000073</v>
      </c>
      <c r="U50" s="19">
        <v>1.87</v>
      </c>
      <c r="V50" s="19">
        <v>0.89</v>
      </c>
      <c r="W50" s="25"/>
    </row>
    <row r="51" spans="1:23" ht="15.75" x14ac:dyDescent="0.25">
      <c r="A51" s="12">
        <v>42</v>
      </c>
      <c r="B51" s="22" t="s">
        <v>300</v>
      </c>
      <c r="C51" s="19" t="s">
        <v>160</v>
      </c>
      <c r="D51" s="19" t="s">
        <v>124</v>
      </c>
      <c r="E51" s="12">
        <v>4063.9</v>
      </c>
      <c r="F51" s="17">
        <f t="shared" ref="F51:F54" si="302">E50</f>
        <v>3971</v>
      </c>
      <c r="G51" s="19">
        <f t="shared" ref="G51:G54" si="303">E51-F51</f>
        <v>92.900000000000091</v>
      </c>
      <c r="H51" s="91">
        <f t="shared" si="76"/>
        <v>1</v>
      </c>
      <c r="I51" s="19">
        <f t="shared" ref="I51:I54" si="304">G51*H51</f>
        <v>92.900000000000091</v>
      </c>
      <c r="J51" s="12">
        <v>4826.5</v>
      </c>
      <c r="K51" s="17">
        <f t="shared" ref="K51:K54" si="305">J50</f>
        <v>4759.8999999999996</v>
      </c>
      <c r="L51" s="19">
        <f t="shared" ref="L51:L54" si="306">J51-K51</f>
        <v>66.600000000000364</v>
      </c>
      <c r="M51" s="17">
        <f t="shared" si="80"/>
        <v>1</v>
      </c>
      <c r="N51" s="19">
        <f t="shared" ref="N51:N54" si="307">L51*M51</f>
        <v>66.600000000000364</v>
      </c>
      <c r="O51" s="17">
        <f t="shared" ref="O51:O54" si="308">N51-I51</f>
        <v>-26.299999999999727</v>
      </c>
      <c r="P51" s="12">
        <v>8742.5</v>
      </c>
      <c r="Q51" s="17">
        <f t="shared" ref="Q51:Q54" si="309">P50</f>
        <v>8630.5</v>
      </c>
      <c r="R51" s="19">
        <f t="shared" ref="R51:R54" si="310">P51-Q51</f>
        <v>112</v>
      </c>
      <c r="S51" s="17">
        <f t="shared" si="85"/>
        <v>1</v>
      </c>
      <c r="T51" s="19">
        <f t="shared" ref="T51:T54" si="311">R51*S51</f>
        <v>112</v>
      </c>
      <c r="U51" s="19">
        <v>0.74</v>
      </c>
      <c r="V51" s="19">
        <v>0.85</v>
      </c>
      <c r="W51" s="25"/>
    </row>
    <row r="52" spans="1:23" ht="15.75" x14ac:dyDescent="0.25">
      <c r="A52" s="12">
        <v>43</v>
      </c>
      <c r="B52" s="22" t="s">
        <v>301</v>
      </c>
      <c r="C52" s="19" t="s">
        <v>160</v>
      </c>
      <c r="D52" s="19" t="s">
        <v>124</v>
      </c>
      <c r="E52" s="12">
        <v>4167</v>
      </c>
      <c r="F52" s="17">
        <f t="shared" si="302"/>
        <v>4063.9</v>
      </c>
      <c r="G52" s="19">
        <f t="shared" si="303"/>
        <v>103.09999999999991</v>
      </c>
      <c r="H52" s="91">
        <f t="shared" si="76"/>
        <v>1</v>
      </c>
      <c r="I52" s="19">
        <f t="shared" si="304"/>
        <v>103.09999999999991</v>
      </c>
      <c r="J52" s="12">
        <v>4881.6000000000004</v>
      </c>
      <c r="K52" s="17">
        <f t="shared" si="305"/>
        <v>4826.5</v>
      </c>
      <c r="L52" s="19">
        <f t="shared" si="306"/>
        <v>55.100000000000364</v>
      </c>
      <c r="M52" s="17">
        <f t="shared" si="80"/>
        <v>1</v>
      </c>
      <c r="N52" s="19">
        <f t="shared" si="307"/>
        <v>55.100000000000364</v>
      </c>
      <c r="O52" s="17">
        <f t="shared" si="308"/>
        <v>-47.999999999999545</v>
      </c>
      <c r="P52" s="12">
        <v>8846.7000000000007</v>
      </c>
      <c r="Q52" s="17">
        <f t="shared" si="309"/>
        <v>8742.5</v>
      </c>
      <c r="R52" s="19">
        <f t="shared" si="310"/>
        <v>104.20000000000073</v>
      </c>
      <c r="S52" s="17">
        <f t="shared" si="85"/>
        <v>1</v>
      </c>
      <c r="T52" s="19">
        <f t="shared" si="311"/>
        <v>104.20000000000073</v>
      </c>
      <c r="U52" s="19">
        <v>1.57</v>
      </c>
      <c r="V52" s="103">
        <v>0.99</v>
      </c>
      <c r="W52" s="25"/>
    </row>
    <row r="53" spans="1:23" ht="15.75" x14ac:dyDescent="0.25">
      <c r="A53" s="112">
        <v>44</v>
      </c>
      <c r="B53" s="78" t="s">
        <v>302</v>
      </c>
      <c r="C53" s="110" t="s">
        <v>160</v>
      </c>
      <c r="D53" s="110" t="s">
        <v>124</v>
      </c>
      <c r="E53" s="37">
        <v>4259.6000000000004</v>
      </c>
      <c r="F53" s="113">
        <f t="shared" si="302"/>
        <v>4167</v>
      </c>
      <c r="G53" s="110">
        <f t="shared" si="303"/>
        <v>92.600000000000364</v>
      </c>
      <c r="H53" s="114">
        <f t="shared" si="76"/>
        <v>1</v>
      </c>
      <c r="I53" s="110">
        <f t="shared" si="304"/>
        <v>92.600000000000364</v>
      </c>
      <c r="J53" s="112">
        <v>4945.7</v>
      </c>
      <c r="K53" s="113">
        <f t="shared" si="305"/>
        <v>4881.6000000000004</v>
      </c>
      <c r="L53" s="110">
        <f t="shared" si="306"/>
        <v>64.099999999999454</v>
      </c>
      <c r="M53" s="113">
        <f t="shared" si="80"/>
        <v>1</v>
      </c>
      <c r="N53" s="110">
        <f t="shared" si="307"/>
        <v>64.099999999999454</v>
      </c>
      <c r="O53" s="113">
        <f t="shared" si="308"/>
        <v>-28.500000000000909</v>
      </c>
      <c r="P53" s="112">
        <v>8952.6</v>
      </c>
      <c r="Q53" s="113">
        <f t="shared" si="309"/>
        <v>8846.7000000000007</v>
      </c>
      <c r="R53" s="110">
        <f t="shared" si="310"/>
        <v>105.89999999999964</v>
      </c>
      <c r="S53" s="113">
        <f t="shared" si="85"/>
        <v>1</v>
      </c>
      <c r="T53" s="110">
        <f t="shared" si="311"/>
        <v>105.89999999999964</v>
      </c>
      <c r="U53" s="110">
        <v>0.66</v>
      </c>
      <c r="V53" s="19">
        <v>0.97</v>
      </c>
      <c r="W53" s="25"/>
    </row>
    <row r="54" spans="1:23" ht="15.75" x14ac:dyDescent="0.25">
      <c r="A54" s="105">
        <v>45</v>
      </c>
      <c r="B54" s="22" t="s">
        <v>303</v>
      </c>
      <c r="C54" s="118" t="s">
        <v>160</v>
      </c>
      <c r="D54" s="118" t="s">
        <v>124</v>
      </c>
      <c r="E54" s="120">
        <v>4344</v>
      </c>
      <c r="F54" s="119">
        <f t="shared" si="302"/>
        <v>4259.6000000000004</v>
      </c>
      <c r="G54" s="118">
        <f t="shared" si="303"/>
        <v>84.399999999999636</v>
      </c>
      <c r="H54" s="91">
        <f t="shared" si="76"/>
        <v>1</v>
      </c>
      <c r="I54" s="118">
        <f t="shared" si="304"/>
        <v>84.399999999999636</v>
      </c>
      <c r="J54" s="120">
        <v>5031.1000000000004</v>
      </c>
      <c r="K54" s="119">
        <f t="shared" si="305"/>
        <v>4945.7</v>
      </c>
      <c r="L54" s="118">
        <f t="shared" si="306"/>
        <v>85.400000000000546</v>
      </c>
      <c r="M54" s="119">
        <f t="shared" si="80"/>
        <v>1</v>
      </c>
      <c r="N54" s="118">
        <f t="shared" si="307"/>
        <v>85.400000000000546</v>
      </c>
      <c r="O54" s="119">
        <f t="shared" si="308"/>
        <v>1.0000000000009095</v>
      </c>
      <c r="P54" s="120">
        <v>9089.9</v>
      </c>
      <c r="Q54" s="119">
        <f t="shared" si="309"/>
        <v>8952.6</v>
      </c>
      <c r="R54" s="118">
        <f t="shared" si="310"/>
        <v>137.29999999999927</v>
      </c>
      <c r="S54" s="119">
        <f t="shared" si="85"/>
        <v>1</v>
      </c>
      <c r="T54" s="118">
        <f t="shared" si="311"/>
        <v>137.29999999999927</v>
      </c>
      <c r="U54" s="118">
        <v>0.63</v>
      </c>
      <c r="V54" s="118">
        <v>0.96</v>
      </c>
      <c r="W54" s="25"/>
    </row>
    <row r="55" spans="1:23" ht="15.75" x14ac:dyDescent="0.25">
      <c r="A55" s="120">
        <v>46</v>
      </c>
      <c r="B55" s="116" t="s">
        <v>305</v>
      </c>
      <c r="C55" s="118" t="s">
        <v>160</v>
      </c>
      <c r="D55" s="118" t="s">
        <v>124</v>
      </c>
      <c r="E55" s="120">
        <v>4447.2</v>
      </c>
      <c r="F55" s="119">
        <f t="shared" ref="F55" si="312">E54</f>
        <v>4344</v>
      </c>
      <c r="G55" s="118">
        <f t="shared" ref="G55" si="313">E55-F55</f>
        <v>103.19999999999982</v>
      </c>
      <c r="H55" s="91">
        <f t="shared" si="76"/>
        <v>1</v>
      </c>
      <c r="I55" s="118">
        <f t="shared" ref="I55" si="314">G55*H55</f>
        <v>103.19999999999982</v>
      </c>
      <c r="J55" s="120">
        <v>5141.3</v>
      </c>
      <c r="K55" s="119">
        <f t="shared" ref="K55" si="315">J54</f>
        <v>5031.1000000000004</v>
      </c>
      <c r="L55" s="118">
        <f t="shared" ref="L55" si="316">J55-K55</f>
        <v>110.19999999999982</v>
      </c>
      <c r="M55" s="119">
        <f t="shared" si="80"/>
        <v>1</v>
      </c>
      <c r="N55" s="118">
        <f t="shared" ref="N55" si="317">L55*M55</f>
        <v>110.19999999999982</v>
      </c>
      <c r="O55" s="119">
        <f t="shared" ref="O55" si="318">N55-I55</f>
        <v>7</v>
      </c>
      <c r="P55" s="120">
        <v>9266.9</v>
      </c>
      <c r="Q55" s="119">
        <f t="shared" ref="Q55" si="319">P54</f>
        <v>9089.9</v>
      </c>
      <c r="R55" s="118">
        <f t="shared" ref="R55" si="320">P55-Q55</f>
        <v>177</v>
      </c>
      <c r="S55" s="119">
        <f t="shared" si="85"/>
        <v>1</v>
      </c>
      <c r="T55" s="118">
        <f t="shared" ref="T55" si="321">R55*S55</f>
        <v>177</v>
      </c>
      <c r="U55" s="118">
        <v>0.98</v>
      </c>
      <c r="V55" s="118">
        <v>0.97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160</v>
      </c>
      <c r="D57" s="123" t="s">
        <v>124</v>
      </c>
      <c r="E57" s="125">
        <v>4548.3999999999996</v>
      </c>
      <c r="F57" s="124">
        <f t="shared" ref="F57" si="322">E55</f>
        <v>4447.2</v>
      </c>
      <c r="G57" s="123">
        <f t="shared" ref="G57" si="323">E57-F57</f>
        <v>101.19999999999982</v>
      </c>
      <c r="H57" s="91">
        <f>H55</f>
        <v>1</v>
      </c>
      <c r="I57" s="123">
        <f t="shared" ref="I57" si="324">G57*H57</f>
        <v>101.19999999999982</v>
      </c>
      <c r="J57" s="125">
        <v>5261.2</v>
      </c>
      <c r="K57" s="124">
        <f t="shared" ref="K57" si="325">J55</f>
        <v>5141.3</v>
      </c>
      <c r="L57" s="123">
        <f t="shared" ref="L57" si="326">J57-K57</f>
        <v>119.89999999999964</v>
      </c>
      <c r="M57" s="124">
        <f>M55</f>
        <v>1</v>
      </c>
      <c r="N57" s="123">
        <f t="shared" ref="N57" si="327">L57*M57</f>
        <v>119.89999999999964</v>
      </c>
      <c r="O57" s="124">
        <f t="shared" ref="O57" si="328">N57-I57</f>
        <v>18.699999999999818</v>
      </c>
      <c r="P57" s="125">
        <v>9430.4</v>
      </c>
      <c r="Q57" s="124">
        <f t="shared" ref="Q57" si="329">P55</f>
        <v>9266.9</v>
      </c>
      <c r="R57" s="123">
        <f t="shared" ref="R57" si="330">P57-Q57</f>
        <v>163.5</v>
      </c>
      <c r="S57" s="124">
        <f>S55</f>
        <v>1</v>
      </c>
      <c r="T57" s="123">
        <f t="shared" ref="T57" si="331">R57*S57</f>
        <v>163.5</v>
      </c>
      <c r="U57" s="123">
        <v>1.78</v>
      </c>
      <c r="V57" s="123">
        <v>0.97</v>
      </c>
      <c r="W57" s="25"/>
    </row>
    <row r="58" spans="1:23" ht="15.75" x14ac:dyDescent="0.25">
      <c r="A58" s="126">
        <v>48</v>
      </c>
      <c r="B58" s="116" t="s">
        <v>307</v>
      </c>
      <c r="C58" s="129" t="s">
        <v>160</v>
      </c>
      <c r="D58" s="129" t="s">
        <v>124</v>
      </c>
      <c r="E58" s="126">
        <v>4657</v>
      </c>
      <c r="F58" s="127">
        <f t="shared" ref="F58" si="332">E57</f>
        <v>4548.3999999999996</v>
      </c>
      <c r="G58" s="129">
        <f t="shared" ref="G58" si="333">E58-F58</f>
        <v>108.60000000000036</v>
      </c>
      <c r="H58" s="91">
        <f t="shared" si="76"/>
        <v>1</v>
      </c>
      <c r="I58" s="129">
        <f t="shared" ref="I58" si="334">G58*H58</f>
        <v>108.60000000000036</v>
      </c>
      <c r="J58" s="126">
        <v>5375.9</v>
      </c>
      <c r="K58" s="127">
        <f t="shared" ref="K58" si="335">J57</f>
        <v>5261.2</v>
      </c>
      <c r="L58" s="129">
        <f t="shared" ref="L58" si="336">J58-K58</f>
        <v>114.69999999999982</v>
      </c>
      <c r="M58" s="127">
        <f t="shared" si="80"/>
        <v>1</v>
      </c>
      <c r="N58" s="129">
        <f t="shared" ref="N58" si="337">L58*M58</f>
        <v>114.69999999999982</v>
      </c>
      <c r="O58" s="127">
        <f t="shared" ref="O58" si="338">N58-I58</f>
        <v>6.0999999999994543</v>
      </c>
      <c r="P58" s="126">
        <v>9615.2999999999993</v>
      </c>
      <c r="Q58" s="127">
        <f t="shared" ref="Q58" si="339">P57</f>
        <v>9430.4</v>
      </c>
      <c r="R58" s="129">
        <f t="shared" ref="R58" si="340">P58-Q58</f>
        <v>184.89999999999964</v>
      </c>
      <c r="S58" s="127">
        <f t="shared" si="85"/>
        <v>1</v>
      </c>
      <c r="T58" s="129">
        <f t="shared" ref="T58" si="341">R58*S58</f>
        <v>184.89999999999964</v>
      </c>
      <c r="U58" s="129">
        <v>1.78</v>
      </c>
      <c r="V58" s="129">
        <v>0.88</v>
      </c>
      <c r="W58" s="25"/>
    </row>
    <row r="59" spans="1:23" ht="15.75" x14ac:dyDescent="0.25">
      <c r="A59" s="135">
        <v>49</v>
      </c>
      <c r="B59" s="116" t="s">
        <v>309</v>
      </c>
      <c r="C59" s="138" t="s">
        <v>160</v>
      </c>
      <c r="D59" s="138" t="s">
        <v>124</v>
      </c>
      <c r="E59" s="135">
        <v>4745.8999999999996</v>
      </c>
      <c r="F59" s="136">
        <f t="shared" ref="F59" si="342">E58</f>
        <v>4657</v>
      </c>
      <c r="G59" s="138">
        <f t="shared" ref="G59:G61" si="343">E59-F59</f>
        <v>88.899999999999636</v>
      </c>
      <c r="H59" s="91">
        <f t="shared" si="76"/>
        <v>1</v>
      </c>
      <c r="I59" s="138">
        <f t="shared" ref="I59:I61" si="344">G59*H59</f>
        <v>88.899999999999636</v>
      </c>
      <c r="J59" s="135">
        <v>5479.4</v>
      </c>
      <c r="K59" s="136">
        <f t="shared" ref="K59" si="345">J58</f>
        <v>5375.9</v>
      </c>
      <c r="L59" s="138">
        <f t="shared" ref="L59:L61" si="346">J59-K59</f>
        <v>103.5</v>
      </c>
      <c r="M59" s="136">
        <f t="shared" si="80"/>
        <v>1</v>
      </c>
      <c r="N59" s="138">
        <f t="shared" ref="N59:N61" si="347">L59*M59</f>
        <v>103.5</v>
      </c>
      <c r="O59" s="136">
        <f t="shared" ref="O59:O61" si="348">N59-I59</f>
        <v>14.600000000000364</v>
      </c>
      <c r="P59" s="135">
        <v>9777.7000000000007</v>
      </c>
      <c r="Q59" s="136">
        <f t="shared" ref="Q59" si="349">P58</f>
        <v>9615.2999999999993</v>
      </c>
      <c r="R59" s="138">
        <f t="shared" ref="R59:R61" si="350">P59-Q59</f>
        <v>162.40000000000146</v>
      </c>
      <c r="S59" s="136">
        <f t="shared" si="85"/>
        <v>1</v>
      </c>
      <c r="T59" s="138">
        <f t="shared" ref="T59:T61" si="351">R59*S59</f>
        <v>162.40000000000146</v>
      </c>
      <c r="U59" s="138">
        <v>1.43</v>
      </c>
      <c r="V59" s="138">
        <v>0.91</v>
      </c>
      <c r="W59" s="25"/>
    </row>
    <row r="60" spans="1:23" ht="15.75" x14ac:dyDescent="0.25">
      <c r="A60" s="146">
        <v>50</v>
      </c>
      <c r="B60" s="116" t="s">
        <v>310</v>
      </c>
      <c r="C60" s="144" t="s">
        <v>160</v>
      </c>
      <c r="D60" s="144" t="s">
        <v>124</v>
      </c>
      <c r="E60" s="146">
        <v>4745.8999999999996</v>
      </c>
      <c r="F60" s="145">
        <f t="shared" ref="F60" si="352">E58</f>
        <v>4657</v>
      </c>
      <c r="G60" s="144">
        <f t="shared" si="343"/>
        <v>88.899999999999636</v>
      </c>
      <c r="H60" s="91">
        <f>H58</f>
        <v>1</v>
      </c>
      <c r="I60" s="144">
        <f t="shared" si="344"/>
        <v>88.899999999999636</v>
      </c>
      <c r="J60" s="146">
        <v>5479.4</v>
      </c>
      <c r="K60" s="145">
        <f t="shared" ref="K60" si="353">J58</f>
        <v>5375.9</v>
      </c>
      <c r="L60" s="144">
        <f t="shared" si="346"/>
        <v>103.5</v>
      </c>
      <c r="M60" s="145">
        <f>M58</f>
        <v>1</v>
      </c>
      <c r="N60" s="144">
        <f t="shared" si="347"/>
        <v>103.5</v>
      </c>
      <c r="O60" s="145">
        <f t="shared" si="348"/>
        <v>14.600000000000364</v>
      </c>
      <c r="P60" s="146">
        <v>9885.1</v>
      </c>
      <c r="Q60" s="145">
        <f t="shared" ref="Q60" si="354">P58</f>
        <v>9615.2999999999993</v>
      </c>
      <c r="R60" s="144">
        <f t="shared" si="350"/>
        <v>269.80000000000109</v>
      </c>
      <c r="S60" s="145">
        <f>S58</f>
        <v>1</v>
      </c>
      <c r="T60" s="144">
        <f t="shared" si="351"/>
        <v>269.80000000000109</v>
      </c>
      <c r="U60" s="144">
        <v>1.4</v>
      </c>
      <c r="V60" s="144">
        <v>0.86</v>
      </c>
      <c r="W60" s="25"/>
    </row>
    <row r="61" spans="1:23" ht="15.75" x14ac:dyDescent="0.25">
      <c r="A61" s="151">
        <v>51</v>
      </c>
      <c r="B61" s="116" t="s">
        <v>316</v>
      </c>
      <c r="C61" s="149" t="s">
        <v>160</v>
      </c>
      <c r="D61" s="149" t="s">
        <v>124</v>
      </c>
      <c r="E61" s="151">
        <v>4920.8</v>
      </c>
      <c r="F61" s="150">
        <v>4745.8999999999996</v>
      </c>
      <c r="G61" s="149">
        <f t="shared" si="343"/>
        <v>174.90000000000055</v>
      </c>
      <c r="H61" s="91">
        <f>H58</f>
        <v>1</v>
      </c>
      <c r="I61" s="149">
        <f t="shared" si="344"/>
        <v>174.90000000000055</v>
      </c>
      <c r="J61" s="151">
        <v>5629.6</v>
      </c>
      <c r="K61" s="150">
        <f t="shared" ref="K61" si="355">J58</f>
        <v>5375.9</v>
      </c>
      <c r="L61" s="149">
        <f t="shared" si="346"/>
        <v>253.70000000000073</v>
      </c>
      <c r="M61" s="150">
        <f>M58</f>
        <v>1</v>
      </c>
      <c r="N61" s="149">
        <f t="shared" si="347"/>
        <v>253.70000000000073</v>
      </c>
      <c r="O61" s="150">
        <f t="shared" si="348"/>
        <v>78.800000000000182</v>
      </c>
      <c r="P61" s="151">
        <v>10036.6</v>
      </c>
      <c r="Q61" s="150">
        <v>9885.1</v>
      </c>
      <c r="R61" s="149">
        <f t="shared" si="350"/>
        <v>151.5</v>
      </c>
      <c r="S61" s="150">
        <f>S58</f>
        <v>1</v>
      </c>
      <c r="T61" s="149">
        <f t="shared" si="351"/>
        <v>151.5</v>
      </c>
      <c r="U61" s="149">
        <v>0.95</v>
      </c>
      <c r="V61" s="149">
        <v>0.88</v>
      </c>
      <c r="W61" s="25"/>
    </row>
    <row r="62" spans="1:23" ht="15.75" x14ac:dyDescent="0.25">
      <c r="A62" s="155">
        <v>52</v>
      </c>
      <c r="B62" s="116" t="s">
        <v>319</v>
      </c>
      <c r="C62" s="142" t="s">
        <v>160</v>
      </c>
      <c r="D62" s="142" t="s">
        <v>124</v>
      </c>
      <c r="E62" s="139">
        <v>5007.3</v>
      </c>
      <c r="F62" s="140">
        <v>4920.8</v>
      </c>
      <c r="G62" s="142">
        <f t="shared" ref="G62:G64" si="356">E62-F62</f>
        <v>86.5</v>
      </c>
      <c r="H62" s="91">
        <f>H59</f>
        <v>1</v>
      </c>
      <c r="I62" s="142">
        <f t="shared" ref="I62:I64" si="357">G62*H62</f>
        <v>86.5</v>
      </c>
      <c r="J62" s="139">
        <v>5709.9</v>
      </c>
      <c r="K62" s="140">
        <v>5629.6</v>
      </c>
      <c r="L62" s="142">
        <f t="shared" ref="L62:L64" si="358">J62-K62</f>
        <v>80.299999999999272</v>
      </c>
      <c r="M62" s="140">
        <f>M59</f>
        <v>1</v>
      </c>
      <c r="N62" s="142">
        <f t="shared" ref="N62:N64" si="359">L62*M62</f>
        <v>80.299999999999272</v>
      </c>
      <c r="O62" s="140">
        <f t="shared" ref="O62:O64" si="360">N62-I62</f>
        <v>-6.2000000000007276</v>
      </c>
      <c r="P62" s="139">
        <v>10184</v>
      </c>
      <c r="Q62" s="140">
        <v>10037</v>
      </c>
      <c r="R62" s="142">
        <f t="shared" ref="R62:R64" si="361">P62-Q62</f>
        <v>147</v>
      </c>
      <c r="S62" s="140">
        <f>S59</f>
        <v>1</v>
      </c>
      <c r="T62" s="142">
        <f t="shared" ref="T62:T64" si="362">R62*S62</f>
        <v>147</v>
      </c>
      <c r="U62" s="142">
        <v>1.41</v>
      </c>
      <c r="V62" s="142">
        <v>0.88</v>
      </c>
      <c r="W62" s="25"/>
    </row>
    <row r="63" spans="1:23" ht="15.75" x14ac:dyDescent="0.25">
      <c r="A63" s="170">
        <v>53</v>
      </c>
      <c r="B63" s="116" t="s">
        <v>321</v>
      </c>
      <c r="C63" s="168" t="s">
        <v>160</v>
      </c>
      <c r="D63" s="168" t="s">
        <v>124</v>
      </c>
      <c r="E63" s="170">
        <v>5097.8</v>
      </c>
      <c r="F63" s="170">
        <v>5007.3</v>
      </c>
      <c r="G63" s="168">
        <f t="shared" si="356"/>
        <v>90.5</v>
      </c>
      <c r="H63" s="91">
        <f>H59</f>
        <v>1</v>
      </c>
      <c r="I63" s="168">
        <f t="shared" si="357"/>
        <v>90.5</v>
      </c>
      <c r="J63" s="170">
        <v>5810.2</v>
      </c>
      <c r="K63" s="170">
        <v>5709.9</v>
      </c>
      <c r="L63" s="168">
        <f t="shared" si="358"/>
        <v>100.30000000000018</v>
      </c>
      <c r="M63" s="169">
        <f>M59</f>
        <v>1</v>
      </c>
      <c r="N63" s="168">
        <f t="shared" si="359"/>
        <v>100.30000000000018</v>
      </c>
      <c r="O63" s="169">
        <f t="shared" si="360"/>
        <v>9.8000000000001819</v>
      </c>
      <c r="P63" s="170">
        <v>10340.1</v>
      </c>
      <c r="Q63" s="170">
        <v>10184</v>
      </c>
      <c r="R63" s="168">
        <f t="shared" si="361"/>
        <v>156.10000000000036</v>
      </c>
      <c r="S63" s="169">
        <f>S59</f>
        <v>1</v>
      </c>
      <c r="T63" s="168">
        <f t="shared" si="362"/>
        <v>156.10000000000036</v>
      </c>
      <c r="U63" s="168">
        <v>1.38</v>
      </c>
      <c r="V63" s="168">
        <v>0.88</v>
      </c>
      <c r="W63" s="25"/>
    </row>
    <row r="64" spans="1:23" ht="15.75" x14ac:dyDescent="0.25">
      <c r="A64" s="175">
        <v>54</v>
      </c>
      <c r="B64" s="116" t="s">
        <v>327</v>
      </c>
      <c r="C64" s="178" t="s">
        <v>160</v>
      </c>
      <c r="D64" s="178" t="s">
        <v>124</v>
      </c>
      <c r="E64" s="175">
        <v>5190.5</v>
      </c>
      <c r="F64" s="175">
        <v>5097.8</v>
      </c>
      <c r="G64" s="178">
        <f t="shared" si="356"/>
        <v>92.699999999999818</v>
      </c>
      <c r="H64" s="91">
        <f>H59</f>
        <v>1</v>
      </c>
      <c r="I64" s="178">
        <f t="shared" si="357"/>
        <v>92.699999999999818</v>
      </c>
      <c r="J64" s="175">
        <v>5873</v>
      </c>
      <c r="K64" s="175">
        <v>5810.2</v>
      </c>
      <c r="L64" s="178">
        <f t="shared" si="358"/>
        <v>62.800000000000182</v>
      </c>
      <c r="M64" s="176">
        <f>M59</f>
        <v>1</v>
      </c>
      <c r="N64" s="178">
        <f t="shared" si="359"/>
        <v>62.800000000000182</v>
      </c>
      <c r="O64" s="176">
        <f t="shared" si="360"/>
        <v>-29.899999999999636</v>
      </c>
      <c r="P64" s="175">
        <v>10453</v>
      </c>
      <c r="Q64" s="175">
        <v>10340</v>
      </c>
      <c r="R64" s="178">
        <f t="shared" si="361"/>
        <v>113</v>
      </c>
      <c r="S64" s="176">
        <f>S59</f>
        <v>1</v>
      </c>
      <c r="T64" s="178">
        <f t="shared" si="362"/>
        <v>113</v>
      </c>
      <c r="U64" s="178">
        <v>2.2400000000000002</v>
      </c>
      <c r="V64" s="178">
        <v>0.98</v>
      </c>
      <c r="W64" s="25"/>
    </row>
    <row r="65" spans="1:23" ht="15.75" x14ac:dyDescent="0.25">
      <c r="A65" s="155">
        <v>55</v>
      </c>
      <c r="B65" s="116" t="s">
        <v>330</v>
      </c>
      <c r="C65" s="158" t="s">
        <v>160</v>
      </c>
      <c r="D65" s="158" t="s">
        <v>124</v>
      </c>
      <c r="E65" s="155">
        <v>5282.7</v>
      </c>
      <c r="F65" s="175">
        <v>5190.5</v>
      </c>
      <c r="G65" s="158">
        <f t="shared" ref="G65:G66" si="363">E65-F65</f>
        <v>92.199999999999818</v>
      </c>
      <c r="H65" s="91">
        <f>H60</f>
        <v>1</v>
      </c>
      <c r="I65" s="158">
        <f t="shared" ref="I65:I66" si="364">G65*H65</f>
        <v>92.199999999999818</v>
      </c>
      <c r="J65" s="155">
        <v>5921.6</v>
      </c>
      <c r="K65" s="175">
        <v>5873</v>
      </c>
      <c r="L65" s="158">
        <f t="shared" ref="L65:L66" si="365">J65-K65</f>
        <v>48.600000000000364</v>
      </c>
      <c r="M65" s="156">
        <f>M60</f>
        <v>1</v>
      </c>
      <c r="N65" s="158">
        <f t="shared" ref="N65:N66" si="366">L65*M65</f>
        <v>48.600000000000364</v>
      </c>
      <c r="O65" s="156">
        <f t="shared" ref="O65:O66" si="367">N65-I65</f>
        <v>-43.599999999999454</v>
      </c>
      <c r="P65" s="155">
        <v>10559</v>
      </c>
      <c r="Q65" s="175">
        <v>10453</v>
      </c>
      <c r="R65" s="158">
        <f t="shared" ref="R65:R66" si="368">P65-Q65</f>
        <v>106</v>
      </c>
      <c r="S65" s="156">
        <f>S60</f>
        <v>1</v>
      </c>
      <c r="T65" s="158">
        <f t="shared" ref="T65:T66" si="369">R65*S65</f>
        <v>106</v>
      </c>
      <c r="U65" s="158">
        <v>1.78</v>
      </c>
      <c r="V65" s="158">
        <v>0.98</v>
      </c>
      <c r="W65" s="25"/>
    </row>
    <row r="66" spans="1:23" ht="15.75" x14ac:dyDescent="0.25">
      <c r="A66" s="183">
        <v>56</v>
      </c>
      <c r="B66" s="116" t="s">
        <v>331</v>
      </c>
      <c r="C66" s="186" t="s">
        <v>160</v>
      </c>
      <c r="D66" s="186" t="s">
        <v>124</v>
      </c>
      <c r="E66" s="183">
        <v>5373.2</v>
      </c>
      <c r="F66" s="183">
        <v>5282.7</v>
      </c>
      <c r="G66" s="186">
        <f t="shared" si="363"/>
        <v>90.5</v>
      </c>
      <c r="H66" s="91">
        <f>H60</f>
        <v>1</v>
      </c>
      <c r="I66" s="186">
        <f t="shared" si="364"/>
        <v>90.5</v>
      </c>
      <c r="J66" s="183">
        <v>5973.5</v>
      </c>
      <c r="K66" s="183">
        <v>5921.6</v>
      </c>
      <c r="L66" s="186">
        <f t="shared" si="365"/>
        <v>51.899999999999636</v>
      </c>
      <c r="M66" s="184">
        <f>M60</f>
        <v>1</v>
      </c>
      <c r="N66" s="186">
        <f t="shared" si="366"/>
        <v>51.899999999999636</v>
      </c>
      <c r="O66" s="184">
        <f t="shared" si="367"/>
        <v>-38.600000000000364</v>
      </c>
      <c r="P66" s="183">
        <v>10660.1</v>
      </c>
      <c r="Q66" s="183">
        <v>10559</v>
      </c>
      <c r="R66" s="186">
        <f t="shared" si="368"/>
        <v>101.10000000000036</v>
      </c>
      <c r="S66" s="184">
        <f>S60</f>
        <v>1</v>
      </c>
      <c r="T66" s="186">
        <f t="shared" si="369"/>
        <v>101.10000000000036</v>
      </c>
      <c r="U66" s="186">
        <v>0.74</v>
      </c>
      <c r="V66" s="186">
        <v>0.92</v>
      </c>
      <c r="W66" s="25"/>
    </row>
    <row r="67" spans="1:23" ht="15.75" x14ac:dyDescent="0.25">
      <c r="A67" s="182">
        <v>57</v>
      </c>
      <c r="B67" s="116" t="s">
        <v>332</v>
      </c>
      <c r="C67" s="180" t="s">
        <v>160</v>
      </c>
      <c r="D67" s="180" t="s">
        <v>124</v>
      </c>
      <c r="E67" s="182">
        <v>5461.1</v>
      </c>
      <c r="F67" s="182">
        <v>5373.2</v>
      </c>
      <c r="G67" s="180">
        <f t="shared" ref="G67" si="370">E67-F67</f>
        <v>87.900000000000546</v>
      </c>
      <c r="H67" s="91">
        <f>H61</f>
        <v>1</v>
      </c>
      <c r="I67" s="180">
        <f t="shared" ref="I67" si="371">G67*H67</f>
        <v>87.900000000000546</v>
      </c>
      <c r="J67" s="182">
        <v>6044.7</v>
      </c>
      <c r="K67" s="182">
        <v>5973.5</v>
      </c>
      <c r="L67" s="180">
        <f t="shared" ref="L67" si="372">J67-K67</f>
        <v>71.199999999999818</v>
      </c>
      <c r="M67" s="181">
        <f>M61</f>
        <v>1</v>
      </c>
      <c r="N67" s="180">
        <f t="shared" ref="N67" si="373">L67*M67</f>
        <v>71.199999999999818</v>
      </c>
      <c r="O67" s="181">
        <f t="shared" ref="O67" si="374">N67-I67</f>
        <v>-16.700000000000728</v>
      </c>
      <c r="P67" s="182">
        <v>10843.8</v>
      </c>
      <c r="Q67" s="182">
        <v>10660</v>
      </c>
      <c r="R67" s="180">
        <f t="shared" ref="R67" si="375">P67-Q67</f>
        <v>183.79999999999927</v>
      </c>
      <c r="S67" s="181">
        <f>S61</f>
        <v>1</v>
      </c>
      <c r="T67" s="180">
        <f t="shared" ref="T67" si="376">R67*S67</f>
        <v>183.79999999999927</v>
      </c>
      <c r="U67" s="180">
        <v>0.91</v>
      </c>
      <c r="V67" s="180">
        <v>0.94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4"/>
      <c r="H68" s="22" t="s">
        <v>121</v>
      </c>
      <c r="I68" s="164">
        <f>SUM(I57:I65)</f>
        <v>924.39999999999964</v>
      </c>
      <c r="J68" s="164"/>
      <c r="K68" s="162"/>
      <c r="L68" s="164"/>
      <c r="M68" s="162"/>
      <c r="N68" s="164">
        <f>SUM(N57:N65)</f>
        <v>987.30000000000018</v>
      </c>
      <c r="O68" s="164">
        <f>SUM(O57:O65)</f>
        <v>62.900000000000546</v>
      </c>
      <c r="P68" s="164"/>
      <c r="Q68" s="162"/>
      <c r="R68" s="164"/>
      <c r="S68" s="162"/>
      <c r="T68" s="164">
        <f>SUM(T57:T65)</f>
        <v>1454.2000000000025</v>
      </c>
      <c r="U68" s="164"/>
      <c r="V68" s="164"/>
      <c r="W68" s="31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92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92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92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24"/>
      <c r="V71" s="24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92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24"/>
      <c r="V72" s="24"/>
      <c r="W72" s="25"/>
    </row>
    <row r="73" spans="1:23" ht="15.75" x14ac:dyDescent="0.25">
      <c r="A73" s="37"/>
      <c r="B73" s="78"/>
      <c r="C73" s="24"/>
      <c r="D73" s="24"/>
      <c r="E73" s="37"/>
      <c r="F73" s="38"/>
      <c r="G73" s="24"/>
      <c r="H73" s="92"/>
      <c r="I73" s="24"/>
      <c r="J73" s="37"/>
      <c r="K73" s="38"/>
      <c r="L73" s="24"/>
      <c r="M73" s="38"/>
      <c r="N73" s="24"/>
      <c r="O73" s="38"/>
      <c r="P73" s="37"/>
      <c r="Q73" s="38"/>
      <c r="R73" s="24"/>
      <c r="S73" s="38"/>
      <c r="T73" s="24"/>
      <c r="U73" s="24"/>
      <c r="V73" s="24"/>
      <c r="W73" s="25"/>
    </row>
    <row r="74" spans="1:23" ht="15.75" x14ac:dyDescent="0.25">
      <c r="A74" s="37"/>
      <c r="B74" s="78"/>
      <c r="C74" s="24"/>
      <c r="D74" s="24"/>
      <c r="E74" s="37"/>
      <c r="F74" s="38"/>
      <c r="G74" s="24"/>
      <c r="H74" s="92"/>
      <c r="I74" s="24"/>
      <c r="J74" s="37"/>
      <c r="K74" s="38"/>
      <c r="L74" s="24"/>
      <c r="M74" s="38"/>
      <c r="N74" s="24"/>
      <c r="O74" s="38"/>
      <c r="P74" s="37"/>
      <c r="Q74" s="38"/>
      <c r="R74" s="24"/>
      <c r="S74" s="38"/>
      <c r="T74" s="24"/>
      <c r="U74" s="24"/>
      <c r="V74" s="24"/>
      <c r="W74" s="25"/>
    </row>
    <row r="75" spans="1:23" ht="15.75" x14ac:dyDescent="0.25">
      <c r="A75" s="37"/>
      <c r="B75" s="78"/>
      <c r="C75" s="24"/>
      <c r="D75" s="24"/>
      <c r="E75" s="37"/>
      <c r="F75" s="38"/>
      <c r="G75" s="24"/>
      <c r="H75" s="92"/>
      <c r="I75" s="24"/>
      <c r="J75" s="37"/>
      <c r="K75" s="38"/>
      <c r="L75" s="24"/>
      <c r="M75" s="38"/>
      <c r="N75" s="24"/>
      <c r="O75" s="38"/>
      <c r="P75" s="37"/>
      <c r="Q75" s="38"/>
      <c r="R75" s="24"/>
      <c r="S75" s="38"/>
      <c r="T75" s="24"/>
      <c r="U75" s="24"/>
      <c r="V75" s="24"/>
      <c r="W75" s="25"/>
    </row>
    <row r="76" spans="1:23" ht="15.75" x14ac:dyDescent="0.25">
      <c r="A76" s="37"/>
      <c r="B76" s="78"/>
      <c r="C76" s="24"/>
      <c r="D76" s="24"/>
      <c r="E76" s="37"/>
      <c r="F76" s="38"/>
      <c r="G76" s="24"/>
      <c r="H76" s="92"/>
      <c r="I76" s="24"/>
      <c r="J76" s="37"/>
      <c r="K76" s="38"/>
      <c r="L76" s="24"/>
      <c r="M76" s="38"/>
      <c r="N76" s="24"/>
      <c r="O76" s="38"/>
      <c r="P76" s="37"/>
      <c r="Q76" s="38"/>
      <c r="R76" s="24"/>
      <c r="S76" s="38"/>
      <c r="T76" s="24"/>
      <c r="U76" s="24"/>
      <c r="V76" s="24"/>
      <c r="W76" s="25"/>
    </row>
    <row r="77" spans="1:23" ht="15.75" x14ac:dyDescent="0.25">
      <c r="A77" s="37"/>
      <c r="B77" s="78"/>
      <c r="C77" s="24"/>
      <c r="D77" s="24"/>
      <c r="E77" s="37"/>
      <c r="F77" s="38"/>
      <c r="G77" s="24"/>
      <c r="H77" s="92"/>
      <c r="I77" s="24"/>
      <c r="J77" s="37"/>
      <c r="K77" s="38"/>
      <c r="L77" s="24"/>
      <c r="M77" s="38"/>
      <c r="N77" s="24"/>
      <c r="O77" s="38"/>
      <c r="P77" s="37"/>
      <c r="Q77" s="38"/>
      <c r="R77" s="24"/>
      <c r="S77" s="38"/>
      <c r="T77" s="24"/>
      <c r="U77" s="24"/>
      <c r="V77" s="24"/>
      <c r="W77" s="25"/>
    </row>
    <row r="78" spans="1:23" ht="15.75" x14ac:dyDescent="0.25">
      <c r="A78" s="31">
        <v>1</v>
      </c>
      <c r="B78" s="31" t="s">
        <v>23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37"/>
      <c r="Q78" s="38"/>
      <c r="R78" s="24"/>
      <c r="S78" s="38"/>
      <c r="T78" s="24"/>
      <c r="U78" s="25"/>
      <c r="V78" s="25"/>
      <c r="W78" s="25"/>
    </row>
    <row r="79" spans="1:23" ht="15.75" x14ac:dyDescent="0.25">
      <c r="A79" s="31">
        <v>2</v>
      </c>
      <c r="B79" s="31" t="s">
        <v>24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37"/>
      <c r="Q79" s="38"/>
      <c r="R79" s="24"/>
      <c r="S79" s="38"/>
      <c r="T79" s="24"/>
      <c r="U79" s="25"/>
      <c r="V79" s="25"/>
      <c r="W79" s="25"/>
    </row>
    <row r="80" spans="1:23" ht="15.75" x14ac:dyDescent="0.25">
      <c r="A80" s="31">
        <v>3</v>
      </c>
      <c r="B80" s="31" t="s">
        <v>25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37"/>
      <c r="Q80" s="38"/>
      <c r="R80" s="24"/>
      <c r="S80" s="38"/>
      <c r="T80" s="24"/>
      <c r="U80" s="25"/>
      <c r="V80" s="25"/>
      <c r="W80" s="25"/>
    </row>
    <row r="83" spans="18:18" x14ac:dyDescent="0.25">
      <c r="R83" t="s">
        <v>65</v>
      </c>
    </row>
  </sheetData>
  <mergeCells count="20">
    <mergeCell ref="J5:N5"/>
    <mergeCell ref="O5:O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80"/>
  <sheetViews>
    <sheetView view="pageBreakPreview" topLeftCell="A49" zoomScale="85" zoomScaleNormal="85" zoomScaleSheetLayoutView="85" workbookViewId="0">
      <selection activeCell="V71" sqref="V71"/>
    </sheetView>
  </sheetViews>
  <sheetFormatPr defaultRowHeight="15" x14ac:dyDescent="0.25"/>
  <cols>
    <col min="1" max="1" width="7.5703125" customWidth="1"/>
    <col min="2" max="2" width="13" customWidth="1"/>
    <col min="3" max="3" width="15.2851562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170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202</v>
      </c>
      <c r="C3" s="207"/>
      <c r="D3" s="12" t="s">
        <v>6</v>
      </c>
      <c r="E3" s="201" t="s">
        <v>177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143</v>
      </c>
      <c r="W3" s="25"/>
    </row>
    <row r="4" spans="1:23" ht="15.75" x14ac:dyDescent="0.25">
      <c r="A4" s="12" t="s">
        <v>0</v>
      </c>
      <c r="B4" s="216" t="s">
        <v>171</v>
      </c>
      <c r="C4" s="216"/>
      <c r="D4" s="12" t="s">
        <v>9</v>
      </c>
      <c r="E4" s="201">
        <v>9611519948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>
        <v>43744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56</v>
      </c>
      <c r="C7" s="19" t="s">
        <v>201</v>
      </c>
      <c r="D7" s="19" t="s">
        <v>124</v>
      </c>
      <c r="E7" s="17">
        <v>214.5</v>
      </c>
      <c r="F7" s="17">
        <v>0.1</v>
      </c>
      <c r="G7" s="19">
        <f t="shared" ref="G7" si="0">E7-F7</f>
        <v>214.4</v>
      </c>
      <c r="H7" s="17">
        <v>1</v>
      </c>
      <c r="I7" s="19">
        <f t="shared" ref="I7" si="1">G7*H7</f>
        <v>214.4</v>
      </c>
      <c r="J7" s="17">
        <v>129.1</v>
      </c>
      <c r="K7" s="17">
        <v>0.1</v>
      </c>
      <c r="L7" s="19">
        <f t="shared" ref="L7" si="2">J7-K7</f>
        <v>129</v>
      </c>
      <c r="M7" s="17">
        <v>1</v>
      </c>
      <c r="N7" s="19">
        <f t="shared" ref="N7" si="3">L7*M7</f>
        <v>129</v>
      </c>
      <c r="O7" s="17">
        <f t="shared" ref="O7:O12" si="4">N7-I7</f>
        <v>-85.4</v>
      </c>
      <c r="P7" s="17">
        <v>985.7</v>
      </c>
      <c r="Q7" s="17">
        <v>785.5</v>
      </c>
      <c r="R7" s="19">
        <f t="shared" ref="R7" si="5">P7-Q7</f>
        <v>200.20000000000005</v>
      </c>
      <c r="S7" s="17">
        <v>1</v>
      </c>
      <c r="T7" s="19">
        <f t="shared" ref="T7" si="6">R7*S7</f>
        <v>200.20000000000005</v>
      </c>
      <c r="U7" s="17"/>
      <c r="V7" s="17"/>
      <c r="W7" s="25"/>
    </row>
    <row r="8" spans="1:23" ht="15.75" x14ac:dyDescent="0.25">
      <c r="A8" s="12">
        <v>2</v>
      </c>
      <c r="B8" s="22" t="s">
        <v>64</v>
      </c>
      <c r="C8" s="19" t="s">
        <v>201</v>
      </c>
      <c r="D8" s="19" t="s">
        <v>124</v>
      </c>
      <c r="E8" s="17">
        <v>507.5</v>
      </c>
      <c r="F8" s="17">
        <f t="shared" ref="F8:F13" si="7">E7</f>
        <v>214.5</v>
      </c>
      <c r="G8" s="19">
        <f t="shared" ref="G8" si="8">E8-F8</f>
        <v>293</v>
      </c>
      <c r="H8" s="17">
        <f t="shared" ref="H8:H16" si="9">H7</f>
        <v>1</v>
      </c>
      <c r="I8" s="19">
        <f t="shared" ref="I8" si="10">G8*H8</f>
        <v>293</v>
      </c>
      <c r="J8" s="17">
        <v>270.3</v>
      </c>
      <c r="K8" s="17">
        <f t="shared" ref="K8:K13" si="11">J7</f>
        <v>129.1</v>
      </c>
      <c r="L8" s="19">
        <f t="shared" ref="L8" si="12">J8-K8</f>
        <v>141.20000000000002</v>
      </c>
      <c r="M8" s="17">
        <f t="shared" ref="M8:M16" si="13">M7</f>
        <v>1</v>
      </c>
      <c r="N8" s="19">
        <f t="shared" ref="N8" si="14">L8*M8</f>
        <v>141.20000000000002</v>
      </c>
      <c r="O8" s="17">
        <f t="shared" si="4"/>
        <v>-151.79999999999998</v>
      </c>
      <c r="P8" s="17">
        <v>1217.8</v>
      </c>
      <c r="Q8" s="17">
        <f t="shared" ref="Q8:Q13" si="15">P7</f>
        <v>985.7</v>
      </c>
      <c r="R8" s="19">
        <f t="shared" ref="R8" si="16">P8-Q8</f>
        <v>232.09999999999991</v>
      </c>
      <c r="S8" s="17">
        <f t="shared" ref="S8:S16" si="17">S7</f>
        <v>1</v>
      </c>
      <c r="T8" s="19">
        <f t="shared" ref="T8" si="18">R8*S8</f>
        <v>232.09999999999991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201</v>
      </c>
      <c r="D9" s="19" t="s">
        <v>124</v>
      </c>
      <c r="E9" s="17">
        <v>831</v>
      </c>
      <c r="F9" s="17">
        <f t="shared" si="7"/>
        <v>507.5</v>
      </c>
      <c r="G9" s="19">
        <f t="shared" ref="G9" si="19">E9-F9</f>
        <v>323.5</v>
      </c>
      <c r="H9" s="17">
        <f t="shared" si="9"/>
        <v>1</v>
      </c>
      <c r="I9" s="19">
        <f t="shared" ref="I9" si="20">G9*H9</f>
        <v>323.5</v>
      </c>
      <c r="J9" s="17">
        <v>374</v>
      </c>
      <c r="K9" s="17">
        <f t="shared" si="11"/>
        <v>270.3</v>
      </c>
      <c r="L9" s="19">
        <f t="shared" ref="L9" si="21">J9-K9</f>
        <v>103.69999999999999</v>
      </c>
      <c r="M9" s="17">
        <f t="shared" si="13"/>
        <v>1</v>
      </c>
      <c r="N9" s="19">
        <f t="shared" ref="N9" si="22">L9*M9</f>
        <v>103.69999999999999</v>
      </c>
      <c r="O9" s="17">
        <f t="shared" si="4"/>
        <v>-219.8</v>
      </c>
      <c r="P9" s="17">
        <v>1389.7</v>
      </c>
      <c r="Q9" s="17">
        <f t="shared" si="15"/>
        <v>1217.8</v>
      </c>
      <c r="R9" s="19">
        <f t="shared" ref="R9" si="23">P9-Q9</f>
        <v>171.90000000000009</v>
      </c>
      <c r="S9" s="17">
        <f t="shared" si="17"/>
        <v>1</v>
      </c>
      <c r="T9" s="19">
        <f t="shared" ref="T9" si="24">R9*S9</f>
        <v>171.90000000000009</v>
      </c>
      <c r="U9" s="17">
        <v>2.4</v>
      </c>
      <c r="V9" s="17">
        <v>0.99</v>
      </c>
      <c r="W9" s="25"/>
    </row>
    <row r="10" spans="1:23" ht="15.75" x14ac:dyDescent="0.25">
      <c r="A10" s="12">
        <v>4</v>
      </c>
      <c r="B10" s="22" t="s">
        <v>244</v>
      </c>
      <c r="C10" s="19" t="s">
        <v>201</v>
      </c>
      <c r="D10" s="19" t="s">
        <v>124</v>
      </c>
      <c r="E10" s="17">
        <v>1170.8</v>
      </c>
      <c r="F10" s="17">
        <f t="shared" si="7"/>
        <v>831</v>
      </c>
      <c r="G10" s="19">
        <f t="shared" ref="G10" si="25">E10-F10</f>
        <v>339.79999999999995</v>
      </c>
      <c r="H10" s="17">
        <f t="shared" si="9"/>
        <v>1</v>
      </c>
      <c r="I10" s="19">
        <f t="shared" ref="I10" si="26">G10*H10</f>
        <v>339.79999999999995</v>
      </c>
      <c r="J10" s="17">
        <v>502.2</v>
      </c>
      <c r="K10" s="17">
        <f t="shared" si="11"/>
        <v>374</v>
      </c>
      <c r="L10" s="19">
        <f t="shared" ref="L10" si="27">J10-K10</f>
        <v>128.19999999999999</v>
      </c>
      <c r="M10" s="17">
        <f t="shared" si="13"/>
        <v>1</v>
      </c>
      <c r="N10" s="19">
        <f t="shared" ref="N10" si="28">L10*M10</f>
        <v>128.19999999999999</v>
      </c>
      <c r="O10" s="17">
        <f t="shared" si="4"/>
        <v>-211.59999999999997</v>
      </c>
      <c r="P10" s="17">
        <v>1619.4</v>
      </c>
      <c r="Q10" s="17">
        <f t="shared" si="15"/>
        <v>1389.7</v>
      </c>
      <c r="R10" s="19">
        <f t="shared" ref="R10" si="29">P10-Q10</f>
        <v>229.70000000000005</v>
      </c>
      <c r="S10" s="17">
        <f t="shared" si="17"/>
        <v>1</v>
      </c>
      <c r="T10" s="19">
        <f t="shared" ref="T10" si="30">R10*S10</f>
        <v>229.70000000000005</v>
      </c>
      <c r="U10" s="17">
        <v>2.4</v>
      </c>
      <c r="V10" s="17">
        <v>0.47</v>
      </c>
      <c r="W10" s="25"/>
    </row>
    <row r="11" spans="1:23" ht="15.75" x14ac:dyDescent="0.25">
      <c r="A11" s="12">
        <v>5</v>
      </c>
      <c r="B11" s="22" t="s">
        <v>245</v>
      </c>
      <c r="C11" s="19" t="s">
        <v>201</v>
      </c>
      <c r="D11" s="19" t="s">
        <v>124</v>
      </c>
      <c r="E11" s="17">
        <v>1439</v>
      </c>
      <c r="F11" s="17">
        <f t="shared" si="7"/>
        <v>1170.8</v>
      </c>
      <c r="G11" s="19">
        <f t="shared" ref="G11" si="31">E11-F11</f>
        <v>268.20000000000005</v>
      </c>
      <c r="H11" s="17">
        <f t="shared" si="9"/>
        <v>1</v>
      </c>
      <c r="I11" s="19">
        <f t="shared" ref="I11" si="32">G11*H11</f>
        <v>268.20000000000005</v>
      </c>
      <c r="J11" s="17">
        <v>603.6</v>
      </c>
      <c r="K11" s="17">
        <f t="shared" si="11"/>
        <v>502.2</v>
      </c>
      <c r="L11" s="19">
        <f t="shared" ref="L11" si="33">J11-K11</f>
        <v>101.40000000000003</v>
      </c>
      <c r="M11" s="17">
        <f t="shared" si="13"/>
        <v>1</v>
      </c>
      <c r="N11" s="19">
        <f t="shared" ref="N11" si="34">L11*M11</f>
        <v>101.40000000000003</v>
      </c>
      <c r="O11" s="17">
        <f t="shared" si="4"/>
        <v>-166.8</v>
      </c>
      <c r="P11" s="17">
        <v>1757.5</v>
      </c>
      <c r="Q11" s="17">
        <f t="shared" si="15"/>
        <v>1619.4</v>
      </c>
      <c r="R11" s="19">
        <f t="shared" ref="R11" si="35">P11-Q11</f>
        <v>138.09999999999991</v>
      </c>
      <c r="S11" s="17">
        <f t="shared" si="17"/>
        <v>1</v>
      </c>
      <c r="T11" s="19">
        <f t="shared" ref="T11" si="36">R11*S11</f>
        <v>138.09999999999991</v>
      </c>
      <c r="U11" s="17">
        <v>2.19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201</v>
      </c>
      <c r="D12" s="19" t="s">
        <v>124</v>
      </c>
      <c r="E12" s="12">
        <v>1772.7</v>
      </c>
      <c r="F12" s="17">
        <f t="shared" si="7"/>
        <v>1439</v>
      </c>
      <c r="G12" s="19">
        <f t="shared" ref="G12" si="37">E12-F12</f>
        <v>333.70000000000005</v>
      </c>
      <c r="H12" s="17">
        <f t="shared" si="9"/>
        <v>1</v>
      </c>
      <c r="I12" s="19">
        <f t="shared" ref="I12" si="38">G12*H12</f>
        <v>333.70000000000005</v>
      </c>
      <c r="J12" s="12">
        <v>606.4</v>
      </c>
      <c r="K12" s="17">
        <f t="shared" si="11"/>
        <v>603.6</v>
      </c>
      <c r="L12" s="19">
        <f t="shared" ref="L12" si="39">J12-K12</f>
        <v>2.7999999999999545</v>
      </c>
      <c r="M12" s="17">
        <f t="shared" si="13"/>
        <v>1</v>
      </c>
      <c r="N12" s="19">
        <f t="shared" ref="N12" si="40">L12*M12</f>
        <v>2.7999999999999545</v>
      </c>
      <c r="O12" s="17">
        <f t="shared" si="4"/>
        <v>-330.90000000000009</v>
      </c>
      <c r="P12" s="17">
        <v>1763.4</v>
      </c>
      <c r="Q12" s="17">
        <f t="shared" si="15"/>
        <v>1757.5</v>
      </c>
      <c r="R12" s="19">
        <f t="shared" ref="R12" si="41">P12-Q12</f>
        <v>5.9000000000000909</v>
      </c>
      <c r="S12" s="17">
        <f t="shared" si="17"/>
        <v>1</v>
      </c>
      <c r="T12" s="19">
        <f t="shared" ref="T12" si="42">R12*S12</f>
        <v>5.9000000000000909</v>
      </c>
      <c r="U12" s="19">
        <v>2.12</v>
      </c>
      <c r="V12" s="19">
        <v>0.97</v>
      </c>
      <c r="W12" s="25"/>
    </row>
    <row r="13" spans="1:23" ht="15.75" x14ac:dyDescent="0.25">
      <c r="A13" s="12">
        <v>7</v>
      </c>
      <c r="B13" s="22" t="s">
        <v>252</v>
      </c>
      <c r="C13" s="19" t="s">
        <v>201</v>
      </c>
      <c r="D13" s="19" t="s">
        <v>124</v>
      </c>
      <c r="E13" s="12">
        <v>2042</v>
      </c>
      <c r="F13" s="17">
        <f t="shared" si="7"/>
        <v>1772.7</v>
      </c>
      <c r="G13" s="19">
        <f t="shared" ref="G13" si="43">E13-F13</f>
        <v>269.29999999999995</v>
      </c>
      <c r="H13" s="17">
        <f t="shared" si="9"/>
        <v>1</v>
      </c>
      <c r="I13" s="19">
        <f t="shared" ref="I13" si="44">G13*H13</f>
        <v>269.29999999999995</v>
      </c>
      <c r="J13" s="12">
        <v>705</v>
      </c>
      <c r="K13" s="17">
        <f t="shared" si="11"/>
        <v>606.4</v>
      </c>
      <c r="L13" s="19">
        <f t="shared" ref="L13" si="45">J13-K13</f>
        <v>98.600000000000023</v>
      </c>
      <c r="M13" s="17">
        <f t="shared" si="13"/>
        <v>1</v>
      </c>
      <c r="N13" s="19">
        <f t="shared" ref="N13" si="46">L13*M13</f>
        <v>98.600000000000023</v>
      </c>
      <c r="O13" s="17">
        <f t="shared" ref="O13" si="47">N13-I13</f>
        <v>-170.69999999999993</v>
      </c>
      <c r="P13" s="12">
        <v>1919</v>
      </c>
      <c r="Q13" s="17">
        <f t="shared" si="15"/>
        <v>1763.4</v>
      </c>
      <c r="R13" s="19">
        <f t="shared" ref="R13" si="48">P13-Q13</f>
        <v>155.59999999999991</v>
      </c>
      <c r="S13" s="17">
        <f t="shared" si="17"/>
        <v>1</v>
      </c>
      <c r="T13" s="19">
        <f t="shared" ref="T13" si="49">R13*S13</f>
        <v>155.59999999999991</v>
      </c>
      <c r="U13" s="19">
        <v>2.58</v>
      </c>
      <c r="V13" s="19">
        <v>0.99</v>
      </c>
      <c r="W13" s="25"/>
    </row>
    <row r="14" spans="1:23" ht="15.75" x14ac:dyDescent="0.25">
      <c r="A14" s="12">
        <v>8</v>
      </c>
      <c r="B14" s="22" t="s">
        <v>253</v>
      </c>
      <c r="C14" s="19" t="s">
        <v>201</v>
      </c>
      <c r="D14" s="19" t="s">
        <v>124</v>
      </c>
      <c r="E14" s="12">
        <v>2338.4</v>
      </c>
      <c r="F14" s="17">
        <f t="shared" ref="F14" si="50">E13</f>
        <v>2042</v>
      </c>
      <c r="G14" s="19">
        <f t="shared" ref="G14" si="51">E14-F14</f>
        <v>296.40000000000009</v>
      </c>
      <c r="H14" s="17">
        <f t="shared" si="9"/>
        <v>1</v>
      </c>
      <c r="I14" s="19">
        <f t="shared" ref="I14" si="52">G14*H14</f>
        <v>296.40000000000009</v>
      </c>
      <c r="J14" s="12">
        <v>787.6</v>
      </c>
      <c r="K14" s="17">
        <f t="shared" ref="K14" si="53">J13</f>
        <v>705</v>
      </c>
      <c r="L14" s="19">
        <f t="shared" ref="L14" si="54">J14-K14</f>
        <v>82.600000000000023</v>
      </c>
      <c r="M14" s="17">
        <f t="shared" si="13"/>
        <v>1</v>
      </c>
      <c r="N14" s="19">
        <f t="shared" ref="N14" si="55">L14*M14</f>
        <v>82.600000000000023</v>
      </c>
      <c r="O14" s="17">
        <f t="shared" ref="O14" si="56">N14-I14</f>
        <v>-213.80000000000007</v>
      </c>
      <c r="P14" s="12">
        <v>2051.8000000000002</v>
      </c>
      <c r="Q14" s="17">
        <f t="shared" ref="Q14" si="57">P13</f>
        <v>1919</v>
      </c>
      <c r="R14" s="19">
        <f t="shared" ref="R14" si="58">P14-Q14</f>
        <v>132.80000000000018</v>
      </c>
      <c r="S14" s="17">
        <f t="shared" si="17"/>
        <v>1</v>
      </c>
      <c r="T14" s="19">
        <f t="shared" ref="T14" si="59">R14*S14</f>
        <v>132.80000000000018</v>
      </c>
      <c r="U14" s="19">
        <v>2.48</v>
      </c>
      <c r="V14" s="19">
        <v>0.9</v>
      </c>
      <c r="W14" s="25"/>
    </row>
    <row r="15" spans="1:23" ht="15.75" x14ac:dyDescent="0.25">
      <c r="A15" s="12">
        <v>9</v>
      </c>
      <c r="B15" s="22" t="s">
        <v>254</v>
      </c>
      <c r="C15" s="19" t="s">
        <v>201</v>
      </c>
      <c r="D15" s="19" t="s">
        <v>124</v>
      </c>
      <c r="E15" s="12">
        <v>2625.4</v>
      </c>
      <c r="F15" s="17">
        <f t="shared" ref="F15" si="60">E14</f>
        <v>2338.4</v>
      </c>
      <c r="G15" s="19">
        <f t="shared" ref="G15" si="61">E15-F15</f>
        <v>287</v>
      </c>
      <c r="H15" s="17">
        <f t="shared" si="9"/>
        <v>1</v>
      </c>
      <c r="I15" s="19">
        <f t="shared" ref="I15" si="62">G15*H15</f>
        <v>287</v>
      </c>
      <c r="J15" s="12">
        <v>897.2</v>
      </c>
      <c r="K15" s="17">
        <f t="shared" ref="K15" si="63">J14</f>
        <v>787.6</v>
      </c>
      <c r="L15" s="19">
        <f t="shared" ref="L15" si="64">J15-K15</f>
        <v>109.60000000000002</v>
      </c>
      <c r="M15" s="17">
        <f t="shared" si="13"/>
        <v>1</v>
      </c>
      <c r="N15" s="19">
        <f t="shared" ref="N15" si="65">L15*M15</f>
        <v>109.60000000000002</v>
      </c>
      <c r="O15" s="17">
        <f t="shared" ref="O15" si="66">N15-I15</f>
        <v>-177.39999999999998</v>
      </c>
      <c r="P15" s="12">
        <v>2221.8000000000002</v>
      </c>
      <c r="Q15" s="17">
        <f t="shared" ref="Q15" si="67">P14</f>
        <v>2051.8000000000002</v>
      </c>
      <c r="R15" s="19">
        <f t="shared" ref="R15" si="68">P15-Q15</f>
        <v>170</v>
      </c>
      <c r="S15" s="17">
        <f t="shared" si="17"/>
        <v>1</v>
      </c>
      <c r="T15" s="19">
        <f t="shared" ref="T15" si="69">R15*S15</f>
        <v>170</v>
      </c>
      <c r="U15" s="19">
        <v>2.41</v>
      </c>
      <c r="V15" s="19">
        <v>0.99</v>
      </c>
      <c r="W15" s="25"/>
    </row>
    <row r="16" spans="1:23" ht="15.75" x14ac:dyDescent="0.25">
      <c r="A16" s="12">
        <v>10</v>
      </c>
      <c r="B16" s="22" t="s">
        <v>258</v>
      </c>
      <c r="C16" s="19" t="s">
        <v>201</v>
      </c>
      <c r="D16" s="19" t="s">
        <v>124</v>
      </c>
      <c r="E16" s="12">
        <f>E15+72</f>
        <v>2697.4</v>
      </c>
      <c r="F16" s="17">
        <f t="shared" ref="F16" si="70">E15</f>
        <v>2625.4</v>
      </c>
      <c r="G16" s="19">
        <f t="shared" ref="G16" si="71">E16-F16</f>
        <v>72</v>
      </c>
      <c r="H16" s="17">
        <f t="shared" si="9"/>
        <v>1</v>
      </c>
      <c r="I16" s="19">
        <f t="shared" ref="I16" si="72">G16*H16</f>
        <v>72</v>
      </c>
      <c r="J16" s="12">
        <f>J15+93</f>
        <v>990.2</v>
      </c>
      <c r="K16" s="17">
        <f t="shared" ref="K16" si="73">J15</f>
        <v>897.2</v>
      </c>
      <c r="L16" s="19">
        <f t="shared" ref="L16" si="74">J16-K16</f>
        <v>93</v>
      </c>
      <c r="M16" s="17">
        <f t="shared" si="13"/>
        <v>1</v>
      </c>
      <c r="N16" s="19">
        <f t="shared" ref="N16" si="75">L16*M16</f>
        <v>93</v>
      </c>
      <c r="O16" s="17">
        <f t="shared" ref="O16" si="76">N16-I16</f>
        <v>21</v>
      </c>
      <c r="P16" s="12">
        <v>2323.8000000000002</v>
      </c>
      <c r="Q16" s="17">
        <f t="shared" ref="Q16" si="77">P15</f>
        <v>2221.8000000000002</v>
      </c>
      <c r="R16" s="19">
        <f t="shared" ref="R16" si="78">P16-Q16</f>
        <v>102</v>
      </c>
      <c r="S16" s="17">
        <f t="shared" si="17"/>
        <v>1</v>
      </c>
      <c r="T16" s="19">
        <f t="shared" ref="T16" si="79">R16*S16</f>
        <v>102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7" t="s">
        <v>121</v>
      </c>
      <c r="H17" s="17"/>
      <c r="I17" s="12">
        <f>SUM(I7:I16)</f>
        <v>2697.3</v>
      </c>
      <c r="J17" s="12"/>
      <c r="K17" s="17"/>
      <c r="L17" s="12"/>
      <c r="M17" s="17"/>
      <c r="N17" s="12">
        <f t="shared" ref="N17:O17" si="80">SUM(N7:N16)</f>
        <v>990.1</v>
      </c>
      <c r="O17" s="12">
        <f t="shared" si="80"/>
        <v>-1707.2000000000003</v>
      </c>
      <c r="P17" s="12"/>
      <c r="Q17" s="17"/>
      <c r="R17" s="12"/>
      <c r="S17" s="17"/>
      <c r="T17" s="12">
        <f>SUM(T7:T16)</f>
        <v>1538.3000000000002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201</v>
      </c>
      <c r="D18" s="19" t="s">
        <v>124</v>
      </c>
      <c r="E18" s="12">
        <v>2769.9</v>
      </c>
      <c r="F18" s="17">
        <f>E16</f>
        <v>2697.4</v>
      </c>
      <c r="G18" s="19">
        <f t="shared" ref="G18" si="81">E18-F18</f>
        <v>72.5</v>
      </c>
      <c r="H18" s="91">
        <v>1</v>
      </c>
      <c r="I18" s="19">
        <f t="shared" ref="I18" si="82">G18*H18</f>
        <v>72.5</v>
      </c>
      <c r="J18" s="12">
        <v>1084.5999999999999</v>
      </c>
      <c r="K18" s="17">
        <f>J16</f>
        <v>990.2</v>
      </c>
      <c r="L18" s="19">
        <f t="shared" ref="L18" si="83">J18-K18</f>
        <v>94.399999999999864</v>
      </c>
      <c r="M18" s="17">
        <f>M16</f>
        <v>1</v>
      </c>
      <c r="N18" s="19">
        <f t="shared" ref="N18" si="84">L18*M18</f>
        <v>94.399999999999864</v>
      </c>
      <c r="O18" s="17">
        <f t="shared" ref="O18" si="85">N18-I18</f>
        <v>21.899999999999864</v>
      </c>
      <c r="P18" s="12">
        <v>2420.8000000000002</v>
      </c>
      <c r="Q18" s="17">
        <f>P16</f>
        <v>2323.8000000000002</v>
      </c>
      <c r="R18" s="19">
        <f t="shared" ref="R18" si="86">P18-Q18</f>
        <v>97</v>
      </c>
      <c r="S18" s="17">
        <f>S16</f>
        <v>1</v>
      </c>
      <c r="T18" s="19">
        <f t="shared" ref="T18" si="87">R18*S18</f>
        <v>97</v>
      </c>
      <c r="U18" s="12">
        <v>1.4</v>
      </c>
      <c r="V18" s="12">
        <v>0.99</v>
      </c>
      <c r="W18" s="25"/>
    </row>
    <row r="19" spans="1:23" ht="15.75" x14ac:dyDescent="0.25">
      <c r="A19" s="12">
        <v>12</v>
      </c>
      <c r="B19" s="22" t="s">
        <v>263</v>
      </c>
      <c r="C19" s="19" t="s">
        <v>201</v>
      </c>
      <c r="D19" s="19" t="s">
        <v>124</v>
      </c>
      <c r="E19" s="12">
        <v>2784.4</v>
      </c>
      <c r="F19" s="17">
        <f t="shared" ref="F19:F24" si="88">E18</f>
        <v>2769.9</v>
      </c>
      <c r="G19" s="19">
        <f t="shared" ref="G19" si="89">E19-F19</f>
        <v>14.5</v>
      </c>
      <c r="H19" s="91">
        <f t="shared" ref="H19:H59" si="90">H18</f>
        <v>1</v>
      </c>
      <c r="I19" s="19">
        <f t="shared" ref="I19" si="91">G19*H19</f>
        <v>14.5</v>
      </c>
      <c r="J19" s="12">
        <v>1363.4</v>
      </c>
      <c r="K19" s="17">
        <f t="shared" ref="K19:K24" si="92">J18</f>
        <v>1084.5999999999999</v>
      </c>
      <c r="L19" s="19">
        <f t="shared" ref="L19" si="93">J19-K19</f>
        <v>278.80000000000018</v>
      </c>
      <c r="M19" s="17">
        <f t="shared" ref="M19:M59" si="94">M18</f>
        <v>1</v>
      </c>
      <c r="N19" s="19">
        <f t="shared" ref="N19" si="95">L19*M19</f>
        <v>278.80000000000018</v>
      </c>
      <c r="O19" s="17">
        <f t="shared" ref="O19" si="96">N19-I19</f>
        <v>264.30000000000018</v>
      </c>
      <c r="P19" s="12">
        <v>2700.8</v>
      </c>
      <c r="Q19" s="17">
        <f t="shared" ref="Q19:Q24" si="97">P18</f>
        <v>2420.8000000000002</v>
      </c>
      <c r="R19" s="19">
        <f t="shared" ref="R19" si="98">P19-Q19</f>
        <v>280</v>
      </c>
      <c r="S19" s="17">
        <f t="shared" ref="S19:S59" si="99">S18</f>
        <v>1</v>
      </c>
      <c r="T19" s="19">
        <f t="shared" ref="T19" si="100">R19*S19</f>
        <v>280</v>
      </c>
      <c r="U19" s="12">
        <v>1.4</v>
      </c>
      <c r="V19" s="12">
        <v>0.99</v>
      </c>
      <c r="W19" s="25"/>
    </row>
    <row r="20" spans="1:23" ht="15.75" x14ac:dyDescent="0.25">
      <c r="A20" s="12">
        <v>13</v>
      </c>
      <c r="B20" s="22" t="s">
        <v>265</v>
      </c>
      <c r="C20" s="19" t="s">
        <v>201</v>
      </c>
      <c r="D20" s="19" t="s">
        <v>124</v>
      </c>
      <c r="E20" s="12">
        <v>2819.6</v>
      </c>
      <c r="F20" s="17">
        <f t="shared" si="88"/>
        <v>2784.4</v>
      </c>
      <c r="G20" s="19">
        <f t="shared" ref="G20" si="101">E20-F20</f>
        <v>35.199999999999818</v>
      </c>
      <c r="H20" s="91">
        <f t="shared" si="90"/>
        <v>1</v>
      </c>
      <c r="I20" s="19">
        <f t="shared" ref="I20" si="102">G20*H20</f>
        <v>35.199999999999818</v>
      </c>
      <c r="J20" s="12">
        <v>1428.2</v>
      </c>
      <c r="K20" s="17">
        <f t="shared" si="92"/>
        <v>1363.4</v>
      </c>
      <c r="L20" s="19">
        <f t="shared" ref="L20" si="103">J20-K20</f>
        <v>64.799999999999955</v>
      </c>
      <c r="M20" s="17">
        <f t="shared" si="94"/>
        <v>1</v>
      </c>
      <c r="N20" s="19">
        <f t="shared" ref="N20" si="104">L20*M20</f>
        <v>64.799999999999955</v>
      </c>
      <c r="O20" s="17">
        <f t="shared" ref="O20" si="105">N20-I20</f>
        <v>29.600000000000136</v>
      </c>
      <c r="P20" s="12">
        <v>2774</v>
      </c>
      <c r="Q20" s="17">
        <f t="shared" si="97"/>
        <v>2700.8</v>
      </c>
      <c r="R20" s="19">
        <f t="shared" ref="R20" si="106">P20-Q20</f>
        <v>73.199999999999818</v>
      </c>
      <c r="S20" s="17">
        <f t="shared" si="99"/>
        <v>1</v>
      </c>
      <c r="T20" s="19">
        <f t="shared" ref="T20" si="107">R20*S20</f>
        <v>73.199999999999818</v>
      </c>
      <c r="U20" s="12">
        <v>1.4</v>
      </c>
      <c r="V20" s="12">
        <v>0.99</v>
      </c>
      <c r="W20" s="25"/>
    </row>
    <row r="21" spans="1:23" ht="15.75" x14ac:dyDescent="0.25">
      <c r="A21" s="12">
        <v>14</v>
      </c>
      <c r="B21" s="22" t="s">
        <v>266</v>
      </c>
      <c r="C21" s="19" t="s">
        <v>201</v>
      </c>
      <c r="D21" s="19" t="s">
        <v>124</v>
      </c>
      <c r="E21" s="12">
        <v>2832.4</v>
      </c>
      <c r="F21" s="17">
        <f t="shared" si="88"/>
        <v>2819.6</v>
      </c>
      <c r="G21" s="19">
        <f t="shared" ref="G21" si="108">E21-F21</f>
        <v>12.800000000000182</v>
      </c>
      <c r="H21" s="91">
        <f t="shared" si="90"/>
        <v>1</v>
      </c>
      <c r="I21" s="19">
        <f t="shared" ref="I21" si="109">G21*H21</f>
        <v>12.800000000000182</v>
      </c>
      <c r="J21" s="12">
        <v>1488.2</v>
      </c>
      <c r="K21" s="17">
        <f t="shared" si="92"/>
        <v>1428.2</v>
      </c>
      <c r="L21" s="19">
        <f t="shared" ref="L21" si="110">J21-K21</f>
        <v>60</v>
      </c>
      <c r="M21" s="17">
        <f t="shared" si="94"/>
        <v>1</v>
      </c>
      <c r="N21" s="19">
        <f t="shared" ref="N21" si="111">L21*M21</f>
        <v>60</v>
      </c>
      <c r="O21" s="17">
        <f t="shared" ref="O21" si="112">N21-I21</f>
        <v>47.199999999999818</v>
      </c>
      <c r="P21" s="12">
        <v>2851</v>
      </c>
      <c r="Q21" s="17">
        <f t="shared" si="97"/>
        <v>2774</v>
      </c>
      <c r="R21" s="19">
        <f t="shared" ref="R21" si="113">P21-Q21</f>
        <v>77</v>
      </c>
      <c r="S21" s="17">
        <f t="shared" si="99"/>
        <v>1</v>
      </c>
      <c r="T21" s="19">
        <f t="shared" ref="T21" si="114">R21*S21</f>
        <v>77</v>
      </c>
      <c r="U21" s="12"/>
      <c r="V21" s="12"/>
      <c r="W21" s="25"/>
    </row>
    <row r="22" spans="1:23" ht="15.75" x14ac:dyDescent="0.25">
      <c r="A22" s="12">
        <v>15</v>
      </c>
      <c r="B22" s="22" t="s">
        <v>267</v>
      </c>
      <c r="C22" s="19" t="s">
        <v>201</v>
      </c>
      <c r="D22" s="19" t="s">
        <v>124</v>
      </c>
      <c r="E22" s="12">
        <v>2856</v>
      </c>
      <c r="F22" s="17">
        <f t="shared" si="88"/>
        <v>2832.4</v>
      </c>
      <c r="G22" s="19">
        <f t="shared" ref="G22" si="115">E22-F22</f>
        <v>23.599999999999909</v>
      </c>
      <c r="H22" s="91">
        <f t="shared" si="90"/>
        <v>1</v>
      </c>
      <c r="I22" s="19">
        <f t="shared" ref="I22" si="116">G22*H22</f>
        <v>23.599999999999909</v>
      </c>
      <c r="J22" s="12">
        <v>1626</v>
      </c>
      <c r="K22" s="17">
        <f t="shared" si="92"/>
        <v>1488.2</v>
      </c>
      <c r="L22" s="19">
        <f t="shared" ref="L22" si="117">J22-K22</f>
        <v>137.79999999999995</v>
      </c>
      <c r="M22" s="17">
        <f t="shared" si="94"/>
        <v>1</v>
      </c>
      <c r="N22" s="19">
        <f t="shared" ref="N22" si="118">L22*M22</f>
        <v>137.79999999999995</v>
      </c>
      <c r="O22" s="17">
        <f t="shared" ref="O22" si="119">N22-I22</f>
        <v>114.20000000000005</v>
      </c>
      <c r="P22" s="12">
        <v>3067</v>
      </c>
      <c r="Q22" s="17">
        <f t="shared" si="97"/>
        <v>2851</v>
      </c>
      <c r="R22" s="19">
        <f t="shared" ref="R22" si="120">P22-Q22</f>
        <v>216</v>
      </c>
      <c r="S22" s="17">
        <f t="shared" si="99"/>
        <v>1</v>
      </c>
      <c r="T22" s="19">
        <f t="shared" ref="T22" si="121">R22*S22</f>
        <v>216</v>
      </c>
      <c r="U22" s="12"/>
      <c r="V22" s="12"/>
      <c r="W22" s="25"/>
    </row>
    <row r="23" spans="1:23" ht="15.75" x14ac:dyDescent="0.25">
      <c r="A23" s="12">
        <v>16</v>
      </c>
      <c r="B23" s="22" t="s">
        <v>268</v>
      </c>
      <c r="C23" s="19" t="s">
        <v>201</v>
      </c>
      <c r="D23" s="19" t="s">
        <v>124</v>
      </c>
      <c r="E23" s="12">
        <v>2927.2</v>
      </c>
      <c r="F23" s="17">
        <f t="shared" si="88"/>
        <v>2856</v>
      </c>
      <c r="G23" s="19">
        <f t="shared" ref="G23" si="122">E23-F23</f>
        <v>71.199999999999818</v>
      </c>
      <c r="H23" s="91">
        <f t="shared" si="90"/>
        <v>1</v>
      </c>
      <c r="I23" s="19">
        <f t="shared" ref="I23" si="123">G23*H23</f>
        <v>71.199999999999818</v>
      </c>
      <c r="J23" s="12">
        <v>1818.3</v>
      </c>
      <c r="K23" s="17">
        <f t="shared" si="92"/>
        <v>1626</v>
      </c>
      <c r="L23" s="19">
        <f t="shared" ref="L23" si="124">J23-K23</f>
        <v>192.29999999999995</v>
      </c>
      <c r="M23" s="17">
        <f t="shared" si="94"/>
        <v>1</v>
      </c>
      <c r="N23" s="19">
        <f t="shared" ref="N23" si="125">L23*M23</f>
        <v>192.29999999999995</v>
      </c>
      <c r="O23" s="17">
        <f t="shared" ref="O23" si="126">N23-I23</f>
        <v>121.10000000000014</v>
      </c>
      <c r="P23" s="12">
        <v>3308.8</v>
      </c>
      <c r="Q23" s="17">
        <f t="shared" si="97"/>
        <v>3067</v>
      </c>
      <c r="R23" s="19">
        <f t="shared" ref="R23" si="127">P23-Q23</f>
        <v>241.80000000000018</v>
      </c>
      <c r="S23" s="17">
        <f t="shared" si="99"/>
        <v>1</v>
      </c>
      <c r="T23" s="19">
        <f t="shared" ref="T23" si="128">R23*S23</f>
        <v>241.80000000000018</v>
      </c>
      <c r="U23" s="12">
        <v>1.64</v>
      </c>
      <c r="V23" s="12">
        <v>0.56999999999999995</v>
      </c>
      <c r="W23" s="25"/>
    </row>
    <row r="24" spans="1:23" ht="15.75" x14ac:dyDescent="0.25">
      <c r="A24" s="12">
        <v>17</v>
      </c>
      <c r="B24" s="22" t="s">
        <v>272</v>
      </c>
      <c r="C24" s="19" t="s">
        <v>201</v>
      </c>
      <c r="D24" s="19" t="s">
        <v>124</v>
      </c>
      <c r="E24" s="12">
        <v>2983.8</v>
      </c>
      <c r="F24" s="17">
        <f t="shared" si="88"/>
        <v>2927.2</v>
      </c>
      <c r="G24" s="19">
        <f t="shared" ref="G24" si="129">E24-F24</f>
        <v>56.600000000000364</v>
      </c>
      <c r="H24" s="91">
        <f t="shared" si="90"/>
        <v>1</v>
      </c>
      <c r="I24" s="19">
        <f t="shared" ref="I24" si="130">G24*H24</f>
        <v>56.600000000000364</v>
      </c>
      <c r="J24" s="12">
        <v>2070.9</v>
      </c>
      <c r="K24" s="17">
        <f t="shared" si="92"/>
        <v>1818.3</v>
      </c>
      <c r="L24" s="19">
        <f t="shared" ref="L24" si="131">J24-K24</f>
        <v>252.60000000000014</v>
      </c>
      <c r="M24" s="17">
        <f t="shared" si="94"/>
        <v>1</v>
      </c>
      <c r="N24" s="19">
        <f t="shared" ref="N24" si="132">L24*M24</f>
        <v>252.60000000000014</v>
      </c>
      <c r="O24" s="17">
        <f t="shared" ref="O24" si="133">N24-I24</f>
        <v>195.99999999999977</v>
      </c>
      <c r="P24" s="12">
        <v>3613.4</v>
      </c>
      <c r="Q24" s="17">
        <f t="shared" si="97"/>
        <v>3308.8</v>
      </c>
      <c r="R24" s="19">
        <f t="shared" ref="R24" si="134">P24-Q24</f>
        <v>304.59999999999991</v>
      </c>
      <c r="S24" s="17">
        <f t="shared" si="99"/>
        <v>1</v>
      </c>
      <c r="T24" s="19">
        <f t="shared" ref="T24" si="135">R24*S24</f>
        <v>304.59999999999991</v>
      </c>
      <c r="U24" s="12">
        <v>1.17</v>
      </c>
      <c r="V24" s="12">
        <v>0.99</v>
      </c>
      <c r="W24" s="25"/>
    </row>
    <row r="25" spans="1:23" ht="15.75" x14ac:dyDescent="0.25">
      <c r="A25" s="12">
        <v>18</v>
      </c>
      <c r="B25" s="22" t="s">
        <v>274</v>
      </c>
      <c r="C25" s="19" t="s">
        <v>201</v>
      </c>
      <c r="D25" s="19" t="s">
        <v>124</v>
      </c>
      <c r="E25" s="12">
        <v>3028.3</v>
      </c>
      <c r="F25" s="17">
        <f t="shared" ref="F25" si="136">E24</f>
        <v>2983.8</v>
      </c>
      <c r="G25" s="19">
        <f t="shared" ref="G25" si="137">E25-F25</f>
        <v>44.5</v>
      </c>
      <c r="H25" s="91">
        <f t="shared" si="90"/>
        <v>1</v>
      </c>
      <c r="I25" s="19">
        <f t="shared" ref="I25" si="138">G25*H25</f>
        <v>44.5</v>
      </c>
      <c r="J25" s="12">
        <v>2306.1999999999998</v>
      </c>
      <c r="K25" s="17">
        <f t="shared" ref="K25" si="139">J24</f>
        <v>2070.9</v>
      </c>
      <c r="L25" s="19">
        <f t="shared" ref="L25" si="140">J25-K25</f>
        <v>235.29999999999973</v>
      </c>
      <c r="M25" s="17">
        <f t="shared" si="94"/>
        <v>1</v>
      </c>
      <c r="N25" s="19">
        <f t="shared" ref="N25" si="141">L25*M25</f>
        <v>235.29999999999973</v>
      </c>
      <c r="O25" s="17">
        <f t="shared" ref="O25" si="142">N25-I25</f>
        <v>190.79999999999973</v>
      </c>
      <c r="P25" s="12">
        <v>3884.8</v>
      </c>
      <c r="Q25" s="17">
        <f t="shared" ref="Q25" si="143">P24</f>
        <v>3613.4</v>
      </c>
      <c r="R25" s="19">
        <f t="shared" ref="R25" si="144">P25-Q25</f>
        <v>271.40000000000009</v>
      </c>
      <c r="S25" s="17">
        <f t="shared" si="99"/>
        <v>1</v>
      </c>
      <c r="T25" s="19">
        <f t="shared" ref="T25" si="145">R25*S25</f>
        <v>271.40000000000009</v>
      </c>
      <c r="U25" s="12">
        <v>1.38</v>
      </c>
      <c r="V25" s="12">
        <v>0.99</v>
      </c>
      <c r="W25" s="25"/>
    </row>
    <row r="26" spans="1:23" ht="15.75" x14ac:dyDescent="0.25">
      <c r="A26" s="12">
        <v>19</v>
      </c>
      <c r="B26" s="22" t="s">
        <v>276</v>
      </c>
      <c r="C26" s="19" t="s">
        <v>201</v>
      </c>
      <c r="D26" s="19" t="s">
        <v>124</v>
      </c>
      <c r="E26" s="12">
        <v>3119.7</v>
      </c>
      <c r="F26" s="17">
        <f t="shared" ref="F26" si="146">E25</f>
        <v>3028.3</v>
      </c>
      <c r="G26" s="19">
        <f t="shared" ref="G26" si="147">E26-F26</f>
        <v>91.399999999999636</v>
      </c>
      <c r="H26" s="91">
        <f t="shared" si="90"/>
        <v>1</v>
      </c>
      <c r="I26" s="19">
        <f t="shared" ref="I26" si="148">G26*H26</f>
        <v>91.399999999999636</v>
      </c>
      <c r="J26" s="12">
        <v>2521.4</v>
      </c>
      <c r="K26" s="17">
        <f t="shared" ref="K26" si="149">J25</f>
        <v>2306.1999999999998</v>
      </c>
      <c r="L26" s="19">
        <f t="shared" ref="L26" si="150">J26-K26</f>
        <v>215.20000000000027</v>
      </c>
      <c r="M26" s="17">
        <f t="shared" si="94"/>
        <v>1</v>
      </c>
      <c r="N26" s="19">
        <f t="shared" ref="N26" si="151">L26*M26</f>
        <v>215.20000000000027</v>
      </c>
      <c r="O26" s="17">
        <f t="shared" ref="O26" si="152">N26-I26</f>
        <v>123.80000000000064</v>
      </c>
      <c r="P26" s="12">
        <v>4148.2</v>
      </c>
      <c r="Q26" s="17">
        <f t="shared" ref="Q26" si="153">P25</f>
        <v>3884.8</v>
      </c>
      <c r="R26" s="19">
        <f t="shared" ref="R26" si="154">P26-Q26</f>
        <v>263.39999999999964</v>
      </c>
      <c r="S26" s="17">
        <f t="shared" si="99"/>
        <v>1</v>
      </c>
      <c r="T26" s="19">
        <f t="shared" ref="T26" si="155">R26*S26</f>
        <v>263.39999999999964</v>
      </c>
      <c r="U26" s="12">
        <v>1.83</v>
      </c>
      <c r="V26" s="12">
        <v>1</v>
      </c>
      <c r="W26" s="25"/>
    </row>
    <row r="27" spans="1:23" ht="15.75" x14ac:dyDescent="0.25">
      <c r="A27" s="12">
        <v>20</v>
      </c>
      <c r="B27" s="22" t="s">
        <v>262</v>
      </c>
      <c r="C27" s="19" t="s">
        <v>201</v>
      </c>
      <c r="D27" s="19" t="s">
        <v>124</v>
      </c>
      <c r="E27" s="12">
        <v>3365.4</v>
      </c>
      <c r="F27" s="17">
        <f t="shared" ref="F27" si="156">E26</f>
        <v>3119.7</v>
      </c>
      <c r="G27" s="19">
        <f t="shared" ref="G27" si="157">E27-F27</f>
        <v>245.70000000000027</v>
      </c>
      <c r="H27" s="91">
        <f t="shared" si="90"/>
        <v>1</v>
      </c>
      <c r="I27" s="19">
        <f t="shared" ref="I27" si="158">G27*H27</f>
        <v>245.70000000000027</v>
      </c>
      <c r="J27" s="12">
        <v>2600.1999999999998</v>
      </c>
      <c r="K27" s="17">
        <f t="shared" ref="K27" si="159">J26</f>
        <v>2521.4</v>
      </c>
      <c r="L27" s="19">
        <f t="shared" ref="L27" si="160">J27-K27</f>
        <v>78.799999999999727</v>
      </c>
      <c r="M27" s="17">
        <f t="shared" si="94"/>
        <v>1</v>
      </c>
      <c r="N27" s="19">
        <f t="shared" ref="N27" si="161">L27*M27</f>
        <v>78.799999999999727</v>
      </c>
      <c r="O27" s="17">
        <f t="shared" ref="O27" si="162">N27-I27</f>
        <v>-166.90000000000055</v>
      </c>
      <c r="P27" s="12">
        <v>4260.8</v>
      </c>
      <c r="Q27" s="17">
        <f t="shared" ref="Q27" si="163">P26</f>
        <v>4148.2</v>
      </c>
      <c r="R27" s="19">
        <f t="shared" ref="R27" si="164">P27-Q27</f>
        <v>112.60000000000036</v>
      </c>
      <c r="S27" s="17">
        <f t="shared" si="99"/>
        <v>1</v>
      </c>
      <c r="T27" s="19">
        <f t="shared" ref="T27" si="165">R27*S27</f>
        <v>112.60000000000036</v>
      </c>
      <c r="U27" s="12">
        <v>2.27</v>
      </c>
      <c r="V27" s="12">
        <v>0.99</v>
      </c>
      <c r="W27" s="25"/>
    </row>
    <row r="28" spans="1:23" ht="15.75" x14ac:dyDescent="0.25">
      <c r="A28" s="12">
        <v>21</v>
      </c>
      <c r="B28" s="22" t="s">
        <v>277</v>
      </c>
      <c r="C28" s="19" t="s">
        <v>201</v>
      </c>
      <c r="D28" s="19" t="s">
        <v>124</v>
      </c>
      <c r="E28" s="12">
        <v>3640.4</v>
      </c>
      <c r="F28" s="17">
        <f t="shared" ref="F28" si="166">E27</f>
        <v>3365.4</v>
      </c>
      <c r="G28" s="19">
        <f t="shared" ref="G28" si="167">E28-F28</f>
        <v>275</v>
      </c>
      <c r="H28" s="91">
        <f t="shared" si="90"/>
        <v>1</v>
      </c>
      <c r="I28" s="19">
        <f t="shared" ref="I28" si="168">G28*H28</f>
        <v>275</v>
      </c>
      <c r="J28" s="12">
        <v>2700.2</v>
      </c>
      <c r="K28" s="17">
        <f t="shared" ref="K28" si="169">J27</f>
        <v>2600.1999999999998</v>
      </c>
      <c r="L28" s="19">
        <f t="shared" ref="L28" si="170">J28-K28</f>
        <v>100</v>
      </c>
      <c r="M28" s="17">
        <f t="shared" si="94"/>
        <v>1</v>
      </c>
      <c r="N28" s="19">
        <f t="shared" ref="N28" si="171">L28*M28</f>
        <v>100</v>
      </c>
      <c r="O28" s="17">
        <f t="shared" ref="O28" si="172">N28-I28</f>
        <v>-175</v>
      </c>
      <c r="P28" s="12">
        <v>4418.8</v>
      </c>
      <c r="Q28" s="17">
        <f t="shared" ref="Q28" si="173">P27</f>
        <v>4260.8</v>
      </c>
      <c r="R28" s="19">
        <f t="shared" ref="R28" si="174">P28-Q28</f>
        <v>158</v>
      </c>
      <c r="S28" s="17">
        <f t="shared" si="99"/>
        <v>1</v>
      </c>
      <c r="T28" s="19">
        <f t="shared" ref="T28" si="175">R28*S28</f>
        <v>158</v>
      </c>
      <c r="U28" s="12">
        <v>3</v>
      </c>
      <c r="V28" s="12">
        <v>0.92</v>
      </c>
      <c r="W28" s="25"/>
    </row>
    <row r="29" spans="1:23" ht="15.75" x14ac:dyDescent="0.25">
      <c r="A29" s="12">
        <v>22</v>
      </c>
      <c r="B29" s="22" t="s">
        <v>278</v>
      </c>
      <c r="C29" s="19" t="s">
        <v>201</v>
      </c>
      <c r="D29" s="19" t="s">
        <v>124</v>
      </c>
      <c r="E29" s="12">
        <v>3904.2</v>
      </c>
      <c r="F29" s="17">
        <f t="shared" ref="F29" si="176">E28</f>
        <v>3640.4</v>
      </c>
      <c r="G29" s="19">
        <f t="shared" ref="G29" si="177">E29-F29</f>
        <v>263.79999999999973</v>
      </c>
      <c r="H29" s="91">
        <f t="shared" si="90"/>
        <v>1</v>
      </c>
      <c r="I29" s="19">
        <f t="shared" ref="I29" si="178">G29*H29</f>
        <v>263.79999999999973</v>
      </c>
      <c r="J29" s="12">
        <v>2774.8</v>
      </c>
      <c r="K29" s="17">
        <f t="shared" ref="K29" si="179">J28</f>
        <v>2700.2</v>
      </c>
      <c r="L29" s="19">
        <f t="shared" ref="L29" si="180">J29-K29</f>
        <v>74.600000000000364</v>
      </c>
      <c r="M29" s="17">
        <f t="shared" si="94"/>
        <v>1</v>
      </c>
      <c r="N29" s="19">
        <f t="shared" ref="N29" si="181">L29*M29</f>
        <v>74.600000000000364</v>
      </c>
      <c r="O29" s="17">
        <f t="shared" ref="O29" si="182">N29-I29</f>
        <v>-189.19999999999936</v>
      </c>
      <c r="P29" s="12">
        <v>4555.1000000000004</v>
      </c>
      <c r="Q29" s="17">
        <f t="shared" ref="Q29" si="183">P28</f>
        <v>4418.8</v>
      </c>
      <c r="R29" s="19">
        <f t="shared" ref="R29" si="184">P29-Q29</f>
        <v>136.30000000000018</v>
      </c>
      <c r="S29" s="17">
        <f t="shared" si="99"/>
        <v>1</v>
      </c>
      <c r="T29" s="19">
        <f t="shared" ref="T29" si="185">R29*S29</f>
        <v>136.30000000000018</v>
      </c>
      <c r="U29" s="12">
        <v>1.66</v>
      </c>
      <c r="V29" s="12">
        <v>0.9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4"/>
      <c r="V30" s="164"/>
      <c r="W30" s="25"/>
    </row>
    <row r="31" spans="1:23" ht="15.75" x14ac:dyDescent="0.25">
      <c r="A31" s="12">
        <v>23</v>
      </c>
      <c r="B31" s="22" t="s">
        <v>279</v>
      </c>
      <c r="C31" s="19" t="s">
        <v>201</v>
      </c>
      <c r="D31" s="19" t="s">
        <v>124</v>
      </c>
      <c r="E31" s="12">
        <f>E29+66</f>
        <v>3970.2</v>
      </c>
      <c r="F31" s="17">
        <f t="shared" ref="F31" si="186">E29</f>
        <v>3904.2</v>
      </c>
      <c r="G31" s="19">
        <f t="shared" ref="G31" si="187">E31-F31</f>
        <v>66</v>
      </c>
      <c r="H31" s="91">
        <f>H29</f>
        <v>1</v>
      </c>
      <c r="I31" s="19">
        <f t="shared" ref="I31" si="188">G31*H31</f>
        <v>66</v>
      </c>
      <c r="J31" s="12">
        <f>J29+246</f>
        <v>3020.8</v>
      </c>
      <c r="K31" s="17">
        <f t="shared" ref="K31" si="189">J29</f>
        <v>2774.8</v>
      </c>
      <c r="L31" s="19">
        <f t="shared" ref="L31" si="190">J31-K31</f>
        <v>246</v>
      </c>
      <c r="M31" s="17">
        <f>M29</f>
        <v>1</v>
      </c>
      <c r="N31" s="19">
        <f t="shared" ref="N31" si="191">L31*M31</f>
        <v>246</v>
      </c>
      <c r="O31" s="17">
        <f t="shared" ref="O31" si="192">N31-I31</f>
        <v>180</v>
      </c>
      <c r="P31" s="12">
        <f>P29+277</f>
        <v>4832.1000000000004</v>
      </c>
      <c r="Q31" s="17">
        <f t="shared" ref="Q31" si="193">P29</f>
        <v>4555.1000000000004</v>
      </c>
      <c r="R31" s="19">
        <f t="shared" ref="R31" si="194">P31-Q31</f>
        <v>277</v>
      </c>
      <c r="S31" s="17">
        <f>S29</f>
        <v>1</v>
      </c>
      <c r="T31" s="19">
        <f t="shared" ref="T31" si="195">R31*S31</f>
        <v>277</v>
      </c>
      <c r="U31" s="12"/>
      <c r="V31" s="12"/>
      <c r="W31" s="25"/>
    </row>
    <row r="32" spans="1:23" ht="15.75" x14ac:dyDescent="0.25">
      <c r="A32" s="12">
        <v>24</v>
      </c>
      <c r="B32" s="22" t="s">
        <v>280</v>
      </c>
      <c r="C32" s="19" t="s">
        <v>201</v>
      </c>
      <c r="D32" s="19" t="s">
        <v>124</v>
      </c>
      <c r="E32" s="12">
        <f>E31+67</f>
        <v>4037.2</v>
      </c>
      <c r="F32" s="17">
        <f t="shared" ref="F32" si="196">E31</f>
        <v>3970.2</v>
      </c>
      <c r="G32" s="19">
        <f t="shared" ref="G32" si="197">E32-F32</f>
        <v>67</v>
      </c>
      <c r="H32" s="91">
        <f t="shared" si="90"/>
        <v>1</v>
      </c>
      <c r="I32" s="19">
        <f t="shared" ref="I32" si="198">G32*H32</f>
        <v>67</v>
      </c>
      <c r="J32" s="12">
        <f>J31+245</f>
        <v>3265.8</v>
      </c>
      <c r="K32" s="17">
        <f t="shared" ref="K32" si="199">J31</f>
        <v>3020.8</v>
      </c>
      <c r="L32" s="19">
        <f t="shared" ref="L32" si="200">J32-K32</f>
        <v>245</v>
      </c>
      <c r="M32" s="17">
        <f t="shared" si="94"/>
        <v>1</v>
      </c>
      <c r="N32" s="19">
        <f t="shared" ref="N32" si="201">L32*M32</f>
        <v>245</v>
      </c>
      <c r="O32" s="17">
        <f t="shared" ref="O32" si="202">N32-I32</f>
        <v>178</v>
      </c>
      <c r="P32" s="12">
        <f>P31+278</f>
        <v>5110.1000000000004</v>
      </c>
      <c r="Q32" s="17">
        <f t="shared" ref="Q32" si="203">P31</f>
        <v>4832.1000000000004</v>
      </c>
      <c r="R32" s="19">
        <f t="shared" ref="R32" si="204">P32-Q32</f>
        <v>278</v>
      </c>
      <c r="S32" s="17">
        <f t="shared" si="99"/>
        <v>1</v>
      </c>
      <c r="T32" s="19">
        <f t="shared" ref="T32" si="205">R32*S32</f>
        <v>278</v>
      </c>
      <c r="U32" s="12"/>
      <c r="V32" s="12"/>
      <c r="W32" s="25"/>
    </row>
    <row r="33" spans="1:23" ht="15.75" x14ac:dyDescent="0.25">
      <c r="A33" s="12">
        <v>25</v>
      </c>
      <c r="B33" s="22" t="s">
        <v>281</v>
      </c>
      <c r="C33" s="19" t="s">
        <v>201</v>
      </c>
      <c r="D33" s="19" t="s">
        <v>124</v>
      </c>
      <c r="E33" s="12">
        <v>4105.3</v>
      </c>
      <c r="F33" s="17">
        <f t="shared" ref="F33" si="206">E32</f>
        <v>4037.2</v>
      </c>
      <c r="G33" s="19">
        <f t="shared" ref="G33" si="207">E33-F33</f>
        <v>68.100000000000364</v>
      </c>
      <c r="H33" s="91">
        <f t="shared" si="90"/>
        <v>1</v>
      </c>
      <c r="I33" s="19">
        <f t="shared" ref="I33" si="208">G33*H33</f>
        <v>68.100000000000364</v>
      </c>
      <c r="J33" s="12">
        <v>3517.7</v>
      </c>
      <c r="K33" s="17">
        <f t="shared" ref="K33" si="209">J32</f>
        <v>3265.8</v>
      </c>
      <c r="L33" s="19">
        <f t="shared" ref="L33" si="210">J33-K33</f>
        <v>251.89999999999964</v>
      </c>
      <c r="M33" s="17">
        <f t="shared" si="94"/>
        <v>1</v>
      </c>
      <c r="N33" s="19">
        <f t="shared" ref="N33" si="211">L33*M33</f>
        <v>251.89999999999964</v>
      </c>
      <c r="O33" s="17">
        <f t="shared" ref="O33" si="212">N33-I33</f>
        <v>183.79999999999927</v>
      </c>
      <c r="P33" s="12">
        <v>5389.3</v>
      </c>
      <c r="Q33" s="17">
        <f t="shared" ref="Q33" si="213">P32</f>
        <v>5110.1000000000004</v>
      </c>
      <c r="R33" s="19">
        <f t="shared" ref="R33" si="214">P33-Q33</f>
        <v>279.19999999999982</v>
      </c>
      <c r="S33" s="17">
        <f t="shared" si="99"/>
        <v>1</v>
      </c>
      <c r="T33" s="19">
        <f t="shared" ref="T33" si="215">R33*S33</f>
        <v>279.19999999999982</v>
      </c>
      <c r="U33" s="12">
        <v>0.72</v>
      </c>
      <c r="V33" s="12">
        <v>0.98</v>
      </c>
      <c r="W33" s="25"/>
    </row>
    <row r="34" spans="1:23" ht="15.75" x14ac:dyDescent="0.25">
      <c r="A34" s="12">
        <v>26</v>
      </c>
      <c r="B34" s="22" t="s">
        <v>282</v>
      </c>
      <c r="C34" s="19" t="s">
        <v>201</v>
      </c>
      <c r="D34" s="19" t="s">
        <v>124</v>
      </c>
      <c r="E34" s="12">
        <v>4149.5</v>
      </c>
      <c r="F34" s="17">
        <f t="shared" ref="F34" si="216">E33</f>
        <v>4105.3</v>
      </c>
      <c r="G34" s="19">
        <f t="shared" ref="G34" si="217">E34-F34</f>
        <v>44.199999999999818</v>
      </c>
      <c r="H34" s="91">
        <f t="shared" si="90"/>
        <v>1</v>
      </c>
      <c r="I34" s="19">
        <f t="shared" ref="I34" si="218">G34*H34</f>
        <v>44.199999999999818</v>
      </c>
      <c r="J34" s="12">
        <v>3710.9</v>
      </c>
      <c r="K34" s="17">
        <f t="shared" ref="K34" si="219">J33</f>
        <v>3517.7</v>
      </c>
      <c r="L34" s="19">
        <f t="shared" ref="L34" si="220">J34-K34</f>
        <v>193.20000000000027</v>
      </c>
      <c r="M34" s="17">
        <f t="shared" si="94"/>
        <v>1</v>
      </c>
      <c r="N34" s="19">
        <f t="shared" ref="N34" si="221">L34*M34</f>
        <v>193.20000000000027</v>
      </c>
      <c r="O34" s="17">
        <f t="shared" ref="O34" si="222">N34-I34</f>
        <v>149.00000000000045</v>
      </c>
      <c r="P34" s="12">
        <v>5619.1</v>
      </c>
      <c r="Q34" s="17">
        <f t="shared" ref="Q34" si="223">P33</f>
        <v>5389.3</v>
      </c>
      <c r="R34" s="19">
        <f t="shared" ref="R34" si="224">P34-Q34</f>
        <v>229.80000000000018</v>
      </c>
      <c r="S34" s="17">
        <f t="shared" si="99"/>
        <v>1</v>
      </c>
      <c r="T34" s="19">
        <f t="shared" ref="T34" si="225">R34*S34</f>
        <v>229.80000000000018</v>
      </c>
      <c r="U34" s="12"/>
      <c r="V34" s="12">
        <v>0.9</v>
      </c>
      <c r="W34" s="25"/>
    </row>
    <row r="35" spans="1:23" ht="15.75" x14ac:dyDescent="0.25">
      <c r="A35" s="12">
        <v>27</v>
      </c>
      <c r="B35" s="22" t="s">
        <v>283</v>
      </c>
      <c r="C35" s="19" t="s">
        <v>201</v>
      </c>
      <c r="D35" s="19" t="s">
        <v>124</v>
      </c>
      <c r="E35" s="12">
        <v>4293.5</v>
      </c>
      <c r="F35" s="17">
        <f t="shared" ref="F35" si="226">E34</f>
        <v>4149.5</v>
      </c>
      <c r="G35" s="19">
        <f t="shared" ref="G35" si="227">E35-F35</f>
        <v>144</v>
      </c>
      <c r="H35" s="91">
        <f t="shared" si="90"/>
        <v>1</v>
      </c>
      <c r="I35" s="19">
        <f t="shared" ref="I35" si="228">G35*H35</f>
        <v>144</v>
      </c>
      <c r="J35" s="12">
        <v>3797.9</v>
      </c>
      <c r="K35" s="17">
        <f t="shared" ref="K35" si="229">J34</f>
        <v>3710.9</v>
      </c>
      <c r="L35" s="19">
        <f t="shared" ref="L35" si="230">J35-K35</f>
        <v>87</v>
      </c>
      <c r="M35" s="17">
        <f t="shared" si="94"/>
        <v>1</v>
      </c>
      <c r="N35" s="19">
        <f t="shared" ref="N35" si="231">L35*M35</f>
        <v>87</v>
      </c>
      <c r="O35" s="17">
        <f t="shared" ref="O35" si="232">N35-I35</f>
        <v>-57</v>
      </c>
      <c r="P35" s="12">
        <v>5753.2</v>
      </c>
      <c r="Q35" s="17">
        <f t="shared" ref="Q35" si="233">P34</f>
        <v>5619.1</v>
      </c>
      <c r="R35" s="19">
        <f t="shared" ref="R35" si="234">P35-Q35</f>
        <v>134.09999999999945</v>
      </c>
      <c r="S35" s="17">
        <f t="shared" si="99"/>
        <v>1</v>
      </c>
      <c r="T35" s="19">
        <f t="shared" ref="T35" si="235">R35*S35</f>
        <v>134.09999999999945</v>
      </c>
      <c r="U35" s="12">
        <v>1.83</v>
      </c>
      <c r="V35" s="12">
        <v>0.97</v>
      </c>
      <c r="W35" s="25"/>
    </row>
    <row r="36" spans="1:23" ht="15.75" x14ac:dyDescent="0.25">
      <c r="A36" s="12">
        <v>28</v>
      </c>
      <c r="B36" s="22" t="s">
        <v>284</v>
      </c>
      <c r="C36" s="19" t="s">
        <v>201</v>
      </c>
      <c r="D36" s="19" t="s">
        <v>124</v>
      </c>
      <c r="E36" s="12">
        <v>4622.3999999999996</v>
      </c>
      <c r="F36" s="17">
        <f t="shared" ref="F36" si="236">E35</f>
        <v>4293.5</v>
      </c>
      <c r="G36" s="19">
        <f t="shared" ref="G36" si="237">E36-F36</f>
        <v>328.89999999999964</v>
      </c>
      <c r="H36" s="91">
        <f t="shared" si="90"/>
        <v>1</v>
      </c>
      <c r="I36" s="19">
        <f t="shared" ref="I36" si="238">G36*H36</f>
        <v>328.89999999999964</v>
      </c>
      <c r="J36" s="12">
        <v>3946</v>
      </c>
      <c r="K36" s="17">
        <f t="shared" ref="K36" si="239">J35</f>
        <v>3797.9</v>
      </c>
      <c r="L36" s="19">
        <f t="shared" ref="L36" si="240">J36-K36</f>
        <v>148.09999999999991</v>
      </c>
      <c r="M36" s="17">
        <f t="shared" si="94"/>
        <v>1</v>
      </c>
      <c r="N36" s="19">
        <f t="shared" ref="N36" si="241">L36*M36</f>
        <v>148.09999999999991</v>
      </c>
      <c r="O36" s="17">
        <f t="shared" ref="O36:O37" si="242">N36-I36</f>
        <v>-180.79999999999973</v>
      </c>
      <c r="P36" s="12">
        <v>5979.4</v>
      </c>
      <c r="Q36" s="17">
        <f t="shared" ref="Q36" si="243">P35</f>
        <v>5753.2</v>
      </c>
      <c r="R36" s="19">
        <f t="shared" ref="R36" si="244">P36-Q36</f>
        <v>226.19999999999982</v>
      </c>
      <c r="S36" s="17">
        <f t="shared" si="99"/>
        <v>1</v>
      </c>
      <c r="T36" s="19">
        <f t="shared" ref="T36" si="245">R36*S36</f>
        <v>226.19999999999982</v>
      </c>
      <c r="U36" s="12">
        <v>3.07</v>
      </c>
      <c r="V36" s="12">
        <v>0.91</v>
      </c>
      <c r="W36" s="25"/>
    </row>
    <row r="37" spans="1:23" ht="15.75" x14ac:dyDescent="0.25">
      <c r="A37" s="12">
        <v>29</v>
      </c>
      <c r="B37" s="22" t="s">
        <v>286</v>
      </c>
      <c r="C37" s="19" t="s">
        <v>201</v>
      </c>
      <c r="D37" s="19" t="s">
        <v>124</v>
      </c>
      <c r="E37" s="12">
        <v>4914.8999999999996</v>
      </c>
      <c r="F37" s="17">
        <f t="shared" ref="F37" si="246">E36</f>
        <v>4622.3999999999996</v>
      </c>
      <c r="G37" s="19">
        <f t="shared" ref="G37" si="247">E37-F37</f>
        <v>292.5</v>
      </c>
      <c r="H37" s="91">
        <f t="shared" si="90"/>
        <v>1</v>
      </c>
      <c r="I37" s="19">
        <f t="shared" ref="I37" si="248">G37*H37</f>
        <v>292.5</v>
      </c>
      <c r="J37" s="12">
        <v>4066.6</v>
      </c>
      <c r="K37" s="17">
        <f t="shared" ref="K37" si="249">J36</f>
        <v>3946</v>
      </c>
      <c r="L37" s="19">
        <f t="shared" ref="L37" si="250">J37-K37</f>
        <v>120.59999999999991</v>
      </c>
      <c r="M37" s="17">
        <f t="shared" si="94"/>
        <v>1</v>
      </c>
      <c r="N37" s="19">
        <f t="shared" ref="N37" si="251">L37*M37</f>
        <v>120.59999999999991</v>
      </c>
      <c r="O37" s="17">
        <f t="shared" si="242"/>
        <v>-171.90000000000009</v>
      </c>
      <c r="P37" s="12">
        <v>6148</v>
      </c>
      <c r="Q37" s="17">
        <f t="shared" ref="Q37" si="252">P36</f>
        <v>5979.4</v>
      </c>
      <c r="R37" s="19">
        <f t="shared" ref="R37" si="253">P37-Q37</f>
        <v>168.60000000000036</v>
      </c>
      <c r="S37" s="17">
        <f t="shared" si="99"/>
        <v>1</v>
      </c>
      <c r="T37" s="19">
        <f t="shared" ref="T37" si="254">R37*S37</f>
        <v>168.60000000000036</v>
      </c>
      <c r="U37" s="12">
        <v>3.13</v>
      </c>
      <c r="V37" s="12">
        <v>0.93</v>
      </c>
      <c r="W37" s="25"/>
    </row>
    <row r="38" spans="1:23" ht="15.75" x14ac:dyDescent="0.25">
      <c r="A38" s="12">
        <v>30</v>
      </c>
      <c r="B38" s="22" t="s">
        <v>288</v>
      </c>
      <c r="C38" s="19" t="s">
        <v>201</v>
      </c>
      <c r="D38" s="19" t="s">
        <v>124</v>
      </c>
      <c r="E38" s="12">
        <v>5073.7</v>
      </c>
      <c r="F38" s="17">
        <f t="shared" ref="F38" si="255">E37</f>
        <v>4914.8999999999996</v>
      </c>
      <c r="G38" s="19">
        <f t="shared" ref="G38" si="256">E38-F38</f>
        <v>158.80000000000018</v>
      </c>
      <c r="H38" s="91">
        <f t="shared" si="90"/>
        <v>1</v>
      </c>
      <c r="I38" s="19">
        <f t="shared" ref="I38" si="257">G38*H38</f>
        <v>158.80000000000018</v>
      </c>
      <c r="J38" s="12">
        <v>4066.6</v>
      </c>
      <c r="K38" s="17">
        <f t="shared" ref="K38" si="258">J37</f>
        <v>4066.6</v>
      </c>
      <c r="L38" s="19">
        <f t="shared" ref="L38" si="259">J38-K38</f>
        <v>0</v>
      </c>
      <c r="M38" s="17">
        <f t="shared" si="94"/>
        <v>1</v>
      </c>
      <c r="N38" s="19">
        <f t="shared" ref="N38" si="260">L38*M38</f>
        <v>0</v>
      </c>
      <c r="O38" s="17">
        <f t="shared" ref="O38" si="261">N38-I38</f>
        <v>-158.80000000000018</v>
      </c>
      <c r="P38" s="12">
        <v>6148</v>
      </c>
      <c r="Q38" s="17">
        <f t="shared" ref="Q38" si="262">P37</f>
        <v>6148</v>
      </c>
      <c r="R38" s="19">
        <f t="shared" ref="R38" si="263">P38-Q38</f>
        <v>0</v>
      </c>
      <c r="S38" s="17">
        <f t="shared" si="99"/>
        <v>1</v>
      </c>
      <c r="T38" s="19">
        <f t="shared" ref="T38" si="264">R38*S38</f>
        <v>0</v>
      </c>
      <c r="U38" s="12">
        <v>2.38</v>
      </c>
      <c r="V38" s="12">
        <v>0.9</v>
      </c>
      <c r="W38" s="25"/>
    </row>
    <row r="39" spans="1:23" ht="15.75" x14ac:dyDescent="0.25">
      <c r="A39" s="12">
        <v>31</v>
      </c>
      <c r="B39" s="22" t="s">
        <v>289</v>
      </c>
      <c r="C39" s="19" t="s">
        <v>201</v>
      </c>
      <c r="D39" s="19" t="s">
        <v>124</v>
      </c>
      <c r="E39" s="12">
        <v>5268.2</v>
      </c>
      <c r="F39" s="17">
        <f t="shared" ref="F39" si="265">E38</f>
        <v>5073.7</v>
      </c>
      <c r="G39" s="19">
        <f t="shared" ref="G39" si="266">E39-F39</f>
        <v>194.5</v>
      </c>
      <c r="H39" s="91">
        <f t="shared" si="90"/>
        <v>1</v>
      </c>
      <c r="I39" s="19">
        <f t="shared" ref="I39" si="267">G39*H39</f>
        <v>194.5</v>
      </c>
      <c r="J39" s="12">
        <v>4066.6</v>
      </c>
      <c r="K39" s="17">
        <f t="shared" ref="K39" si="268">J38</f>
        <v>4066.6</v>
      </c>
      <c r="L39" s="19">
        <f t="shared" ref="L39" si="269">J39-K39</f>
        <v>0</v>
      </c>
      <c r="M39" s="17">
        <f t="shared" si="94"/>
        <v>1</v>
      </c>
      <c r="N39" s="19">
        <f t="shared" ref="N39" si="270">L39*M39</f>
        <v>0</v>
      </c>
      <c r="O39" s="17">
        <f t="shared" ref="O39" si="271">N39-I39</f>
        <v>-194.5</v>
      </c>
      <c r="P39" s="12">
        <v>6148</v>
      </c>
      <c r="Q39" s="17">
        <f t="shared" ref="Q39" si="272">P38</f>
        <v>6148</v>
      </c>
      <c r="R39" s="19">
        <f t="shared" ref="R39" si="273">P39-Q39</f>
        <v>0</v>
      </c>
      <c r="S39" s="17">
        <f t="shared" si="99"/>
        <v>1</v>
      </c>
      <c r="T39" s="19">
        <f t="shared" ref="T39" si="274">R39*S39</f>
        <v>0</v>
      </c>
      <c r="U39" s="12">
        <v>2.38</v>
      </c>
      <c r="V39" s="12">
        <v>0.9</v>
      </c>
      <c r="W39" s="25"/>
    </row>
    <row r="40" spans="1:23" ht="15.75" x14ac:dyDescent="0.25">
      <c r="A40" s="12">
        <v>32</v>
      </c>
      <c r="B40" s="22" t="s">
        <v>290</v>
      </c>
      <c r="C40" s="19" t="s">
        <v>201</v>
      </c>
      <c r="D40" s="19" t="s">
        <v>124</v>
      </c>
      <c r="E40" s="12">
        <v>5413.8</v>
      </c>
      <c r="F40" s="17">
        <f t="shared" ref="F40" si="275">E39</f>
        <v>5268.2</v>
      </c>
      <c r="G40" s="19">
        <f t="shared" ref="G40" si="276">E40-F40</f>
        <v>145.60000000000036</v>
      </c>
      <c r="H40" s="91">
        <f t="shared" si="90"/>
        <v>1</v>
      </c>
      <c r="I40" s="19">
        <f t="shared" ref="I40" si="277">G40*H40</f>
        <v>145.60000000000036</v>
      </c>
      <c r="J40" s="12">
        <v>4066.6</v>
      </c>
      <c r="K40" s="17">
        <f t="shared" ref="K40" si="278">J39</f>
        <v>4066.6</v>
      </c>
      <c r="L40" s="19">
        <f t="shared" ref="L40" si="279">J40-K40</f>
        <v>0</v>
      </c>
      <c r="M40" s="17">
        <f t="shared" si="94"/>
        <v>1</v>
      </c>
      <c r="N40" s="19">
        <f t="shared" ref="N40" si="280">L40*M40</f>
        <v>0</v>
      </c>
      <c r="O40" s="17">
        <f t="shared" ref="O40" si="281">N40-I40</f>
        <v>-145.60000000000036</v>
      </c>
      <c r="P40" s="12">
        <v>6148</v>
      </c>
      <c r="Q40" s="17">
        <f t="shared" ref="Q40" si="282">P39</f>
        <v>6148</v>
      </c>
      <c r="R40" s="19">
        <f t="shared" ref="R40" si="283">P40-Q40</f>
        <v>0</v>
      </c>
      <c r="S40" s="17">
        <f t="shared" si="99"/>
        <v>1</v>
      </c>
      <c r="T40" s="19">
        <f t="shared" ref="T40" si="284">R40*S40</f>
        <v>0</v>
      </c>
      <c r="U40" s="12">
        <v>2.27</v>
      </c>
      <c r="V40" s="12">
        <v>0.98</v>
      </c>
      <c r="W40" s="25"/>
    </row>
    <row r="41" spans="1:23" ht="15.75" x14ac:dyDescent="0.25">
      <c r="A41" s="12">
        <v>33</v>
      </c>
      <c r="B41" s="22" t="s">
        <v>291</v>
      </c>
      <c r="C41" s="19" t="s">
        <v>201</v>
      </c>
      <c r="D41" s="19" t="s">
        <v>124</v>
      </c>
      <c r="E41" s="12">
        <v>5593.7</v>
      </c>
      <c r="F41" s="17">
        <f t="shared" ref="F41:F48" si="285">E40</f>
        <v>5413.8</v>
      </c>
      <c r="G41" s="19">
        <f t="shared" ref="G41:G48" si="286">E41-F41</f>
        <v>179.89999999999964</v>
      </c>
      <c r="H41" s="91">
        <f t="shared" si="90"/>
        <v>1</v>
      </c>
      <c r="I41" s="19">
        <f t="shared" ref="I41:I48" si="287">G41*H41</f>
        <v>179.89999999999964</v>
      </c>
      <c r="J41" s="12">
        <v>4110.7</v>
      </c>
      <c r="K41" s="17">
        <f t="shared" ref="K41:K48" si="288">J40</f>
        <v>4066.6</v>
      </c>
      <c r="L41" s="19">
        <f t="shared" ref="L41:L48" si="289">J41-K41</f>
        <v>44.099999999999909</v>
      </c>
      <c r="M41" s="17">
        <f t="shared" si="94"/>
        <v>1</v>
      </c>
      <c r="N41" s="19">
        <f t="shared" ref="N41:N48" si="290">L41*M41</f>
        <v>44.099999999999909</v>
      </c>
      <c r="O41" s="17">
        <f t="shared" ref="O41:O48" si="291">N41-I41</f>
        <v>-135.79999999999973</v>
      </c>
      <c r="P41" s="12">
        <v>6206.5</v>
      </c>
      <c r="Q41" s="17">
        <f t="shared" ref="Q41:Q48" si="292">P40</f>
        <v>6148</v>
      </c>
      <c r="R41" s="19">
        <f t="shared" ref="R41:R48" si="293">P41-Q41</f>
        <v>58.5</v>
      </c>
      <c r="S41" s="17">
        <f t="shared" si="99"/>
        <v>1</v>
      </c>
      <c r="T41" s="19">
        <f t="shared" ref="T41:T48" si="294">R41*S41</f>
        <v>58.5</v>
      </c>
      <c r="U41" s="12">
        <v>2.2799999999999998</v>
      </c>
      <c r="V41" s="12">
        <v>0.99</v>
      </c>
      <c r="W41" s="25"/>
    </row>
    <row r="42" spans="1:23" ht="15.75" x14ac:dyDescent="0.25">
      <c r="A42" s="12">
        <v>34</v>
      </c>
      <c r="B42" s="22" t="s">
        <v>292</v>
      </c>
      <c r="C42" s="19" t="s">
        <v>201</v>
      </c>
      <c r="D42" s="19" t="s">
        <v>124</v>
      </c>
      <c r="E42" s="12">
        <v>5826.2</v>
      </c>
      <c r="F42" s="17">
        <f t="shared" si="285"/>
        <v>5593.7</v>
      </c>
      <c r="G42" s="19">
        <f t="shared" si="286"/>
        <v>232.5</v>
      </c>
      <c r="H42" s="91">
        <f t="shared" si="90"/>
        <v>1</v>
      </c>
      <c r="I42" s="19">
        <f t="shared" si="287"/>
        <v>232.5</v>
      </c>
      <c r="J42" s="12">
        <v>4215.6000000000004</v>
      </c>
      <c r="K42" s="17">
        <f t="shared" si="288"/>
        <v>4110.7</v>
      </c>
      <c r="L42" s="19">
        <f t="shared" si="289"/>
        <v>104.90000000000055</v>
      </c>
      <c r="M42" s="17">
        <f t="shared" si="94"/>
        <v>1</v>
      </c>
      <c r="N42" s="19">
        <f t="shared" si="290"/>
        <v>104.90000000000055</v>
      </c>
      <c r="O42" s="17">
        <f t="shared" si="291"/>
        <v>-127.59999999999945</v>
      </c>
      <c r="P42" s="12">
        <v>6371.9</v>
      </c>
      <c r="Q42" s="17">
        <f t="shared" si="292"/>
        <v>6206.5</v>
      </c>
      <c r="R42" s="19">
        <f t="shared" si="293"/>
        <v>165.39999999999964</v>
      </c>
      <c r="S42" s="17">
        <f t="shared" si="99"/>
        <v>1</v>
      </c>
      <c r="T42" s="19">
        <f t="shared" si="294"/>
        <v>165.39999999999964</v>
      </c>
      <c r="U42" s="12">
        <v>2.5099999999999998</v>
      </c>
      <c r="V42" s="12">
        <v>0.99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4"/>
      <c r="V43" s="164"/>
      <c r="W43" s="25"/>
    </row>
    <row r="44" spans="1:23" ht="15.75" x14ac:dyDescent="0.25">
      <c r="A44" s="12">
        <v>35</v>
      </c>
      <c r="B44" s="22" t="s">
        <v>293</v>
      </c>
      <c r="C44" s="19" t="s">
        <v>201</v>
      </c>
      <c r="D44" s="19" t="s">
        <v>124</v>
      </c>
      <c r="E44" s="12">
        <v>6059.4</v>
      </c>
      <c r="F44" s="17">
        <f>E42</f>
        <v>5826.2</v>
      </c>
      <c r="G44" s="19">
        <f t="shared" si="286"/>
        <v>233.19999999999982</v>
      </c>
      <c r="H44" s="91">
        <f>H42</f>
        <v>1</v>
      </c>
      <c r="I44" s="19">
        <f t="shared" si="287"/>
        <v>233.19999999999982</v>
      </c>
      <c r="J44" s="12">
        <v>4361.5</v>
      </c>
      <c r="K44" s="17">
        <f>J42</f>
        <v>4215.6000000000004</v>
      </c>
      <c r="L44" s="19">
        <f t="shared" si="289"/>
        <v>145.89999999999964</v>
      </c>
      <c r="M44" s="17">
        <f>M42</f>
        <v>1</v>
      </c>
      <c r="N44" s="19">
        <f t="shared" si="290"/>
        <v>145.89999999999964</v>
      </c>
      <c r="O44" s="17">
        <f t="shared" si="291"/>
        <v>-87.300000000000182</v>
      </c>
      <c r="P44" s="12">
        <v>6597.2</v>
      </c>
      <c r="Q44" s="17">
        <f>P42</f>
        <v>6371.9</v>
      </c>
      <c r="R44" s="19">
        <f t="shared" si="293"/>
        <v>225.30000000000018</v>
      </c>
      <c r="S44" s="17">
        <f>S42</f>
        <v>1</v>
      </c>
      <c r="T44" s="19">
        <f t="shared" si="294"/>
        <v>225.30000000000018</v>
      </c>
      <c r="U44" s="12">
        <v>1.9</v>
      </c>
      <c r="V44" s="12">
        <v>0.9</v>
      </c>
      <c r="W44" s="25"/>
    </row>
    <row r="45" spans="1:23" ht="15.75" x14ac:dyDescent="0.25">
      <c r="A45" s="12">
        <v>36</v>
      </c>
      <c r="B45" s="22" t="s">
        <v>294</v>
      </c>
      <c r="C45" s="19" t="s">
        <v>201</v>
      </c>
      <c r="D45" s="19" t="s">
        <v>124</v>
      </c>
      <c r="E45" s="12">
        <v>6261.2</v>
      </c>
      <c r="F45" s="17">
        <f t="shared" si="285"/>
        <v>6059.4</v>
      </c>
      <c r="G45" s="19">
        <f t="shared" si="286"/>
        <v>201.80000000000018</v>
      </c>
      <c r="H45" s="91">
        <f t="shared" si="90"/>
        <v>1</v>
      </c>
      <c r="I45" s="19">
        <f t="shared" si="287"/>
        <v>201.80000000000018</v>
      </c>
      <c r="J45" s="12">
        <v>4485.7</v>
      </c>
      <c r="K45" s="17">
        <f t="shared" si="288"/>
        <v>4361.5</v>
      </c>
      <c r="L45" s="19">
        <f t="shared" si="289"/>
        <v>124.19999999999982</v>
      </c>
      <c r="M45" s="17">
        <f t="shared" si="94"/>
        <v>1</v>
      </c>
      <c r="N45" s="19">
        <f t="shared" si="290"/>
        <v>124.19999999999982</v>
      </c>
      <c r="O45" s="17">
        <f t="shared" si="291"/>
        <v>-77.600000000000364</v>
      </c>
      <c r="P45" s="12">
        <v>6761.3</v>
      </c>
      <c r="Q45" s="17">
        <f t="shared" si="292"/>
        <v>6597.2</v>
      </c>
      <c r="R45" s="19">
        <f t="shared" si="293"/>
        <v>164.10000000000036</v>
      </c>
      <c r="S45" s="17">
        <f t="shared" si="99"/>
        <v>1</v>
      </c>
      <c r="T45" s="19">
        <f t="shared" si="294"/>
        <v>164.10000000000036</v>
      </c>
      <c r="U45" s="12">
        <v>2.52</v>
      </c>
      <c r="V45" s="12">
        <v>0.9</v>
      </c>
      <c r="W45" s="25"/>
    </row>
    <row r="46" spans="1:23" ht="15.75" x14ac:dyDescent="0.25">
      <c r="A46" s="12">
        <v>37</v>
      </c>
      <c r="B46" s="22" t="s">
        <v>295</v>
      </c>
      <c r="C46" s="19" t="s">
        <v>201</v>
      </c>
      <c r="D46" s="19" t="s">
        <v>124</v>
      </c>
      <c r="E46" s="12">
        <v>6507.5</v>
      </c>
      <c r="F46" s="17">
        <f t="shared" si="285"/>
        <v>6261.2</v>
      </c>
      <c r="G46" s="19">
        <f t="shared" si="286"/>
        <v>246.30000000000018</v>
      </c>
      <c r="H46" s="91">
        <f t="shared" si="90"/>
        <v>1</v>
      </c>
      <c r="I46" s="19">
        <f t="shared" si="287"/>
        <v>246.30000000000018</v>
      </c>
      <c r="J46" s="12">
        <v>4569.2</v>
      </c>
      <c r="K46" s="17">
        <f t="shared" si="288"/>
        <v>4485.7</v>
      </c>
      <c r="L46" s="19">
        <f t="shared" si="289"/>
        <v>83.5</v>
      </c>
      <c r="M46" s="17">
        <f t="shared" si="94"/>
        <v>1</v>
      </c>
      <c r="N46" s="19">
        <f t="shared" si="290"/>
        <v>83.5</v>
      </c>
      <c r="O46" s="17">
        <f t="shared" si="291"/>
        <v>-162.80000000000018</v>
      </c>
      <c r="P46" s="12">
        <v>6891.7</v>
      </c>
      <c r="Q46" s="17">
        <f t="shared" si="292"/>
        <v>6761.3</v>
      </c>
      <c r="R46" s="19">
        <f t="shared" si="293"/>
        <v>130.39999999999964</v>
      </c>
      <c r="S46" s="17">
        <f t="shared" si="99"/>
        <v>1</v>
      </c>
      <c r="T46" s="19">
        <f t="shared" si="294"/>
        <v>130.39999999999964</v>
      </c>
      <c r="U46" s="12">
        <v>2.69</v>
      </c>
      <c r="V46" s="12">
        <v>0.99</v>
      </c>
      <c r="W46" s="25"/>
    </row>
    <row r="47" spans="1:23" ht="15.75" x14ac:dyDescent="0.25">
      <c r="A47" s="12">
        <v>38</v>
      </c>
      <c r="B47" s="22" t="s">
        <v>296</v>
      </c>
      <c r="C47" s="19" t="s">
        <v>201</v>
      </c>
      <c r="D47" s="19" t="s">
        <v>124</v>
      </c>
      <c r="E47" s="12">
        <v>6782.8</v>
      </c>
      <c r="F47" s="17">
        <f t="shared" si="285"/>
        <v>6507.5</v>
      </c>
      <c r="G47" s="19">
        <f t="shared" si="286"/>
        <v>275.30000000000018</v>
      </c>
      <c r="H47" s="91">
        <f t="shared" si="90"/>
        <v>1</v>
      </c>
      <c r="I47" s="19">
        <f t="shared" si="287"/>
        <v>275.30000000000018</v>
      </c>
      <c r="J47" s="12">
        <v>4643.6000000000004</v>
      </c>
      <c r="K47" s="17">
        <f t="shared" si="288"/>
        <v>4569.2</v>
      </c>
      <c r="L47" s="19">
        <f t="shared" si="289"/>
        <v>74.400000000000546</v>
      </c>
      <c r="M47" s="17">
        <f t="shared" si="94"/>
        <v>1</v>
      </c>
      <c r="N47" s="19">
        <f t="shared" si="290"/>
        <v>74.400000000000546</v>
      </c>
      <c r="O47" s="17">
        <f t="shared" si="291"/>
        <v>-200.89999999999964</v>
      </c>
      <c r="P47" s="12">
        <v>7028.8</v>
      </c>
      <c r="Q47" s="17">
        <f t="shared" si="292"/>
        <v>6891.7</v>
      </c>
      <c r="R47" s="19">
        <f t="shared" si="293"/>
        <v>137.10000000000036</v>
      </c>
      <c r="S47" s="17">
        <f t="shared" si="99"/>
        <v>1</v>
      </c>
      <c r="T47" s="19">
        <f t="shared" si="294"/>
        <v>137.10000000000036</v>
      </c>
      <c r="U47" s="12">
        <v>2.4900000000000002</v>
      </c>
      <c r="V47" s="12">
        <v>0.97</v>
      </c>
      <c r="W47" s="25"/>
    </row>
    <row r="48" spans="1:23" ht="15.75" x14ac:dyDescent="0.25">
      <c r="A48" s="12">
        <v>39</v>
      </c>
      <c r="B48" s="22" t="s">
        <v>297</v>
      </c>
      <c r="C48" s="19" t="s">
        <v>201</v>
      </c>
      <c r="D48" s="19" t="s">
        <v>124</v>
      </c>
      <c r="E48" s="12">
        <v>7055.5</v>
      </c>
      <c r="F48" s="17">
        <f t="shared" si="285"/>
        <v>6782.8</v>
      </c>
      <c r="G48" s="19">
        <f t="shared" si="286"/>
        <v>272.69999999999982</v>
      </c>
      <c r="H48" s="91">
        <f t="shared" si="90"/>
        <v>1</v>
      </c>
      <c r="I48" s="19">
        <f t="shared" si="287"/>
        <v>272.69999999999982</v>
      </c>
      <c r="J48" s="12">
        <v>4727.2</v>
      </c>
      <c r="K48" s="17">
        <f t="shared" si="288"/>
        <v>4643.6000000000004</v>
      </c>
      <c r="L48" s="19">
        <f t="shared" si="289"/>
        <v>83.599999999999454</v>
      </c>
      <c r="M48" s="17">
        <f t="shared" si="94"/>
        <v>1</v>
      </c>
      <c r="N48" s="19">
        <f t="shared" si="290"/>
        <v>83.599999999999454</v>
      </c>
      <c r="O48" s="17">
        <f t="shared" si="291"/>
        <v>-189.10000000000036</v>
      </c>
      <c r="P48" s="12">
        <v>7182.2</v>
      </c>
      <c r="Q48" s="17">
        <f t="shared" si="292"/>
        <v>7028.8</v>
      </c>
      <c r="R48" s="19">
        <f t="shared" si="293"/>
        <v>153.39999999999964</v>
      </c>
      <c r="S48" s="17">
        <f t="shared" si="99"/>
        <v>1</v>
      </c>
      <c r="T48" s="19">
        <f t="shared" si="294"/>
        <v>153.39999999999964</v>
      </c>
      <c r="U48" s="12">
        <v>2.5299999999999998</v>
      </c>
      <c r="V48" s="12">
        <v>0.95</v>
      </c>
      <c r="W48" s="25"/>
    </row>
    <row r="49" spans="1:23" ht="15.75" x14ac:dyDescent="0.25">
      <c r="A49" s="12">
        <v>40</v>
      </c>
      <c r="B49" s="22" t="s">
        <v>298</v>
      </c>
      <c r="C49" s="19" t="s">
        <v>201</v>
      </c>
      <c r="D49" s="19" t="s">
        <v>124</v>
      </c>
      <c r="E49" s="12">
        <v>7280.9</v>
      </c>
      <c r="F49" s="17">
        <f t="shared" ref="F49" si="295">E48</f>
        <v>7055.5</v>
      </c>
      <c r="G49" s="19">
        <f t="shared" ref="G49" si="296">E49-F49</f>
        <v>225.39999999999964</v>
      </c>
      <c r="H49" s="91">
        <f t="shared" si="90"/>
        <v>1</v>
      </c>
      <c r="I49" s="19">
        <f t="shared" ref="I49" si="297">G49*H49</f>
        <v>225.39999999999964</v>
      </c>
      <c r="J49" s="12">
        <v>4853.1000000000004</v>
      </c>
      <c r="K49" s="17">
        <f t="shared" ref="K49" si="298">J48</f>
        <v>4727.2</v>
      </c>
      <c r="L49" s="19">
        <f t="shared" ref="L49" si="299">J49-K49</f>
        <v>125.90000000000055</v>
      </c>
      <c r="M49" s="17">
        <f t="shared" si="94"/>
        <v>1</v>
      </c>
      <c r="N49" s="19">
        <f t="shared" ref="N49" si="300">L49*M49</f>
        <v>125.90000000000055</v>
      </c>
      <c r="O49" s="17">
        <f t="shared" ref="O49" si="301">N49-I49</f>
        <v>-99.499999999999091</v>
      </c>
      <c r="P49" s="12">
        <v>7378.4</v>
      </c>
      <c r="Q49" s="17">
        <f t="shared" ref="Q49" si="302">P48</f>
        <v>7182.2</v>
      </c>
      <c r="R49" s="19">
        <f t="shared" ref="R49" si="303">P49-Q49</f>
        <v>196.19999999999982</v>
      </c>
      <c r="S49" s="17">
        <f t="shared" si="99"/>
        <v>1</v>
      </c>
      <c r="T49" s="19">
        <f t="shared" ref="T49" si="304">R49*S49</f>
        <v>196.19999999999982</v>
      </c>
      <c r="U49" s="12">
        <v>2.75</v>
      </c>
      <c r="V49" s="12">
        <v>0.97</v>
      </c>
      <c r="W49" s="25"/>
    </row>
    <row r="50" spans="1:23" ht="15.75" x14ac:dyDescent="0.25">
      <c r="A50" s="12">
        <v>41</v>
      </c>
      <c r="B50" s="22" t="s">
        <v>299</v>
      </c>
      <c r="C50" s="19" t="s">
        <v>201</v>
      </c>
      <c r="D50" s="19" t="s">
        <v>124</v>
      </c>
      <c r="E50" s="12">
        <v>7464</v>
      </c>
      <c r="F50" s="17">
        <f t="shared" ref="F50" si="305">E49</f>
        <v>7280.9</v>
      </c>
      <c r="G50" s="19">
        <f t="shared" ref="G50" si="306">E50-F50</f>
        <v>183.10000000000036</v>
      </c>
      <c r="H50" s="91">
        <f t="shared" si="90"/>
        <v>1</v>
      </c>
      <c r="I50" s="19">
        <f t="shared" ref="I50" si="307">G50*H50</f>
        <v>183.10000000000036</v>
      </c>
      <c r="J50" s="12">
        <v>5091.6000000000004</v>
      </c>
      <c r="K50" s="17">
        <f t="shared" ref="K50" si="308">J49</f>
        <v>4853.1000000000004</v>
      </c>
      <c r="L50" s="19">
        <f t="shared" ref="L50" si="309">J50-K50</f>
        <v>238.5</v>
      </c>
      <c r="M50" s="17">
        <f t="shared" si="94"/>
        <v>1</v>
      </c>
      <c r="N50" s="19">
        <f t="shared" ref="N50" si="310">L50*M50</f>
        <v>238.5</v>
      </c>
      <c r="O50" s="17">
        <f t="shared" ref="O50" si="311">N50-I50</f>
        <v>55.399999999999636</v>
      </c>
      <c r="P50" s="12">
        <v>7683</v>
      </c>
      <c r="Q50" s="17">
        <f t="shared" ref="Q50" si="312">P49</f>
        <v>7378.4</v>
      </c>
      <c r="R50" s="19">
        <f t="shared" ref="R50" si="313">P50-Q50</f>
        <v>304.60000000000036</v>
      </c>
      <c r="S50" s="17">
        <f t="shared" si="99"/>
        <v>1</v>
      </c>
      <c r="T50" s="19">
        <f t="shared" ref="T50" si="314">R50*S50</f>
        <v>304.60000000000036</v>
      </c>
      <c r="U50" s="12">
        <v>2.48</v>
      </c>
      <c r="V50" s="12">
        <v>0.99</v>
      </c>
      <c r="W50" s="25"/>
    </row>
    <row r="51" spans="1:23" ht="15.75" x14ac:dyDescent="0.25">
      <c r="A51" s="105">
        <v>42</v>
      </c>
      <c r="B51" s="22" t="s">
        <v>300</v>
      </c>
      <c r="C51" s="111" t="s">
        <v>201</v>
      </c>
      <c r="D51" s="111" t="s">
        <v>124</v>
      </c>
      <c r="E51" s="105">
        <v>7683.6</v>
      </c>
      <c r="F51" s="106">
        <f t="shared" ref="F51:F54" si="315">E50</f>
        <v>7464</v>
      </c>
      <c r="G51" s="111">
        <f t="shared" ref="G51:G54" si="316">E51-F51</f>
        <v>219.60000000000036</v>
      </c>
      <c r="H51" s="91">
        <f t="shared" si="90"/>
        <v>1</v>
      </c>
      <c r="I51" s="111">
        <f t="shared" ref="I51:I54" si="317">G51*H51</f>
        <v>219.60000000000036</v>
      </c>
      <c r="J51" s="105">
        <v>5222.6000000000004</v>
      </c>
      <c r="K51" s="106">
        <f t="shared" ref="K51:K54" si="318">J50</f>
        <v>5091.6000000000004</v>
      </c>
      <c r="L51" s="111">
        <f t="shared" ref="L51:L54" si="319">J51-K51</f>
        <v>131</v>
      </c>
      <c r="M51" s="106">
        <f t="shared" si="94"/>
        <v>1</v>
      </c>
      <c r="N51" s="111">
        <f t="shared" ref="N51:N54" si="320">L51*M51</f>
        <v>131</v>
      </c>
      <c r="O51" s="106">
        <f t="shared" ref="O51:O54" si="321">N51-I51</f>
        <v>-88.600000000000364</v>
      </c>
      <c r="P51" s="105">
        <v>7849</v>
      </c>
      <c r="Q51" s="106">
        <f t="shared" ref="Q51:Q54" si="322">P50</f>
        <v>7683</v>
      </c>
      <c r="R51" s="111">
        <f t="shared" ref="R51:R54" si="323">P51-Q51</f>
        <v>166</v>
      </c>
      <c r="S51" s="106">
        <f t="shared" si="99"/>
        <v>1</v>
      </c>
      <c r="T51" s="111">
        <f t="shared" ref="T51:T54" si="324">R51*S51</f>
        <v>166</v>
      </c>
      <c r="U51" s="105">
        <v>2.42</v>
      </c>
      <c r="V51" s="12">
        <v>0.85</v>
      </c>
      <c r="W51" s="25"/>
    </row>
    <row r="52" spans="1:23" ht="15.75" x14ac:dyDescent="0.25">
      <c r="A52" s="105">
        <v>43</v>
      </c>
      <c r="B52" s="22" t="s">
        <v>301</v>
      </c>
      <c r="C52" s="111" t="s">
        <v>201</v>
      </c>
      <c r="D52" s="111" t="s">
        <v>124</v>
      </c>
      <c r="E52" s="105">
        <v>8015.3</v>
      </c>
      <c r="F52" s="106">
        <f t="shared" si="315"/>
        <v>7683.6</v>
      </c>
      <c r="G52" s="111">
        <f t="shared" si="316"/>
        <v>331.69999999999982</v>
      </c>
      <c r="H52" s="91">
        <f t="shared" si="90"/>
        <v>1</v>
      </c>
      <c r="I52" s="111">
        <f t="shared" si="317"/>
        <v>331.69999999999982</v>
      </c>
      <c r="J52" s="105">
        <v>5303.7</v>
      </c>
      <c r="K52" s="106">
        <f t="shared" si="318"/>
        <v>5222.6000000000004</v>
      </c>
      <c r="L52" s="111">
        <f t="shared" si="319"/>
        <v>81.099999999999454</v>
      </c>
      <c r="M52" s="106">
        <f t="shared" si="94"/>
        <v>1</v>
      </c>
      <c r="N52" s="111">
        <f t="shared" si="320"/>
        <v>81.099999999999454</v>
      </c>
      <c r="O52" s="106">
        <f t="shared" si="321"/>
        <v>-250.60000000000036</v>
      </c>
      <c r="P52" s="105">
        <v>7983.1</v>
      </c>
      <c r="Q52" s="106">
        <f t="shared" si="322"/>
        <v>7849</v>
      </c>
      <c r="R52" s="111">
        <f t="shared" si="323"/>
        <v>134.10000000000036</v>
      </c>
      <c r="S52" s="106">
        <f t="shared" si="99"/>
        <v>1</v>
      </c>
      <c r="T52" s="111">
        <f t="shared" si="324"/>
        <v>134.10000000000036</v>
      </c>
      <c r="U52" s="105">
        <v>2.97</v>
      </c>
      <c r="V52" s="12">
        <v>0.95</v>
      </c>
      <c r="W52" s="25"/>
    </row>
    <row r="53" spans="1:23" ht="15.75" x14ac:dyDescent="0.25">
      <c r="A53" s="105">
        <v>44</v>
      </c>
      <c r="B53" s="22" t="s">
        <v>302</v>
      </c>
      <c r="C53" s="111" t="s">
        <v>201</v>
      </c>
      <c r="D53" s="111" t="s">
        <v>124</v>
      </c>
      <c r="E53" s="105">
        <v>8302.6</v>
      </c>
      <c r="F53" s="106">
        <f t="shared" si="315"/>
        <v>8015.3</v>
      </c>
      <c r="G53" s="111">
        <f t="shared" si="316"/>
        <v>287.30000000000018</v>
      </c>
      <c r="H53" s="91">
        <f t="shared" si="90"/>
        <v>1</v>
      </c>
      <c r="I53" s="111">
        <f t="shared" si="317"/>
        <v>287.30000000000018</v>
      </c>
      <c r="J53" s="105">
        <v>5432.2</v>
      </c>
      <c r="K53" s="106">
        <f t="shared" si="318"/>
        <v>5303.7</v>
      </c>
      <c r="L53" s="111">
        <f t="shared" si="319"/>
        <v>128.5</v>
      </c>
      <c r="M53" s="106">
        <f t="shared" si="94"/>
        <v>1</v>
      </c>
      <c r="N53" s="111">
        <f t="shared" si="320"/>
        <v>128.5</v>
      </c>
      <c r="O53" s="106">
        <f t="shared" si="321"/>
        <v>-158.80000000000018</v>
      </c>
      <c r="P53" s="105">
        <v>8169.3</v>
      </c>
      <c r="Q53" s="106">
        <f t="shared" si="322"/>
        <v>7983.1</v>
      </c>
      <c r="R53" s="111">
        <f t="shared" si="323"/>
        <v>186.19999999999982</v>
      </c>
      <c r="S53" s="106">
        <f t="shared" si="99"/>
        <v>1</v>
      </c>
      <c r="T53" s="111">
        <f t="shared" si="324"/>
        <v>186.19999999999982</v>
      </c>
      <c r="U53" s="105">
        <v>2</v>
      </c>
      <c r="V53" s="12">
        <v>0.91</v>
      </c>
      <c r="W53" s="25"/>
    </row>
    <row r="54" spans="1:23" ht="15.75" x14ac:dyDescent="0.25">
      <c r="A54" s="105">
        <v>45</v>
      </c>
      <c r="B54" s="22" t="s">
        <v>303</v>
      </c>
      <c r="C54" s="111" t="s">
        <v>201</v>
      </c>
      <c r="D54" s="111" t="s">
        <v>124</v>
      </c>
      <c r="E54" s="105">
        <v>8574.6</v>
      </c>
      <c r="F54" s="106">
        <f t="shared" si="315"/>
        <v>8302.6</v>
      </c>
      <c r="G54" s="111">
        <f t="shared" si="316"/>
        <v>272</v>
      </c>
      <c r="H54" s="91">
        <f t="shared" si="90"/>
        <v>1</v>
      </c>
      <c r="I54" s="111">
        <f t="shared" si="317"/>
        <v>272</v>
      </c>
      <c r="J54" s="105">
        <v>5544.4</v>
      </c>
      <c r="K54" s="106">
        <f t="shared" si="318"/>
        <v>5432.2</v>
      </c>
      <c r="L54" s="111">
        <f t="shared" si="319"/>
        <v>112.19999999999982</v>
      </c>
      <c r="M54" s="106">
        <f t="shared" si="94"/>
        <v>1</v>
      </c>
      <c r="N54" s="111">
        <f t="shared" si="320"/>
        <v>112.19999999999982</v>
      </c>
      <c r="O54" s="106">
        <f t="shared" si="321"/>
        <v>-159.80000000000018</v>
      </c>
      <c r="P54" s="105">
        <v>8381</v>
      </c>
      <c r="Q54" s="106">
        <f t="shared" si="322"/>
        <v>8169.3</v>
      </c>
      <c r="R54" s="111">
        <f t="shared" si="323"/>
        <v>211.69999999999982</v>
      </c>
      <c r="S54" s="106">
        <f t="shared" si="99"/>
        <v>1</v>
      </c>
      <c r="T54" s="111">
        <f t="shared" si="324"/>
        <v>211.69999999999982</v>
      </c>
      <c r="U54" s="105">
        <v>2.68</v>
      </c>
      <c r="V54" s="12">
        <v>0.9</v>
      </c>
      <c r="W54" s="25"/>
    </row>
    <row r="55" spans="1:23" ht="15.75" x14ac:dyDescent="0.25">
      <c r="A55" s="120">
        <v>46</v>
      </c>
      <c r="B55" s="116" t="s">
        <v>305</v>
      </c>
      <c r="C55" s="118" t="s">
        <v>201</v>
      </c>
      <c r="D55" s="118" t="s">
        <v>124</v>
      </c>
      <c r="E55" s="120">
        <v>8901.6</v>
      </c>
      <c r="F55" s="119">
        <f t="shared" ref="F55" si="325">E54</f>
        <v>8574.6</v>
      </c>
      <c r="G55" s="118">
        <f t="shared" ref="G55" si="326">E55-F55</f>
        <v>327</v>
      </c>
      <c r="H55" s="91">
        <f t="shared" si="90"/>
        <v>1</v>
      </c>
      <c r="I55" s="118">
        <f t="shared" ref="I55" si="327">G55*H55</f>
        <v>327</v>
      </c>
      <c r="J55" s="120">
        <v>5753.2</v>
      </c>
      <c r="K55" s="119">
        <f t="shared" ref="K55" si="328">J54</f>
        <v>5544.4</v>
      </c>
      <c r="L55" s="118">
        <f t="shared" ref="L55" si="329">J55-K55</f>
        <v>208.80000000000018</v>
      </c>
      <c r="M55" s="119">
        <f t="shared" si="94"/>
        <v>1</v>
      </c>
      <c r="N55" s="118">
        <f t="shared" ref="N55" si="330">L55*M55</f>
        <v>208.80000000000018</v>
      </c>
      <c r="O55" s="119">
        <f t="shared" ref="O55" si="331">N55-I55</f>
        <v>-118.19999999999982</v>
      </c>
      <c r="P55" s="120">
        <v>8707.7000000000007</v>
      </c>
      <c r="Q55" s="119">
        <f t="shared" ref="Q55" si="332">P54</f>
        <v>8381</v>
      </c>
      <c r="R55" s="118">
        <f t="shared" ref="R55" si="333">P55-Q55</f>
        <v>326.70000000000073</v>
      </c>
      <c r="S55" s="119">
        <f t="shared" si="99"/>
        <v>1</v>
      </c>
      <c r="T55" s="118">
        <f t="shared" ref="T55" si="334">R55*S55</f>
        <v>326.70000000000073</v>
      </c>
      <c r="U55" s="120">
        <v>2.89</v>
      </c>
      <c r="V55" s="120">
        <v>0.99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4"/>
      <c r="V56" s="164"/>
      <c r="W56" s="25"/>
    </row>
    <row r="57" spans="1:23" ht="15.75" x14ac:dyDescent="0.25">
      <c r="A57" s="125">
        <v>47</v>
      </c>
      <c r="B57" s="116" t="s">
        <v>306</v>
      </c>
      <c r="C57" s="123" t="s">
        <v>201</v>
      </c>
      <c r="D57" s="123" t="s">
        <v>124</v>
      </c>
      <c r="E57" s="125">
        <v>9126.6</v>
      </c>
      <c r="F57" s="124">
        <f t="shared" ref="F57" si="335">E55</f>
        <v>8901.6</v>
      </c>
      <c r="G57" s="123">
        <f t="shared" ref="G57" si="336">E57-F57</f>
        <v>225</v>
      </c>
      <c r="H57" s="91">
        <f>H55</f>
        <v>1</v>
      </c>
      <c r="I57" s="123">
        <f t="shared" ref="I57" si="337">G57*H57</f>
        <v>225</v>
      </c>
      <c r="J57" s="125">
        <v>5989.7</v>
      </c>
      <c r="K57" s="124">
        <f t="shared" ref="K57" si="338">J55</f>
        <v>5753.2</v>
      </c>
      <c r="L57" s="123">
        <f t="shared" ref="L57" si="339">J57-K57</f>
        <v>236.5</v>
      </c>
      <c r="M57" s="124">
        <f>M55</f>
        <v>1</v>
      </c>
      <c r="N57" s="123">
        <f t="shared" ref="N57" si="340">L57*M57</f>
        <v>236.5</v>
      </c>
      <c r="O57" s="124">
        <f t="shared" ref="O57" si="341">N57-I57</f>
        <v>11.5</v>
      </c>
      <c r="P57" s="125">
        <v>9024.2000000000007</v>
      </c>
      <c r="Q57" s="124">
        <f t="shared" ref="Q57" si="342">P55</f>
        <v>8707.7000000000007</v>
      </c>
      <c r="R57" s="123">
        <f t="shared" ref="R57" si="343">P57-Q57</f>
        <v>316.5</v>
      </c>
      <c r="S57" s="124">
        <f>S55</f>
        <v>1</v>
      </c>
      <c r="T57" s="123">
        <f t="shared" ref="T57" si="344">R57*S57</f>
        <v>316.5</v>
      </c>
      <c r="U57" s="125">
        <v>2.67</v>
      </c>
      <c r="V57" s="125">
        <v>0.99</v>
      </c>
      <c r="W57" s="25"/>
    </row>
    <row r="58" spans="1:23" ht="15.75" x14ac:dyDescent="0.25">
      <c r="A58" s="126">
        <v>48</v>
      </c>
      <c r="B58" s="116" t="s">
        <v>307</v>
      </c>
      <c r="C58" s="129" t="s">
        <v>201</v>
      </c>
      <c r="D58" s="129" t="s">
        <v>124</v>
      </c>
      <c r="E58" s="126">
        <v>9500.2000000000007</v>
      </c>
      <c r="F58" s="127">
        <f t="shared" ref="F58" si="345">E57</f>
        <v>9126.6</v>
      </c>
      <c r="G58" s="129">
        <f t="shared" ref="G58" si="346">E58-F58</f>
        <v>373.60000000000036</v>
      </c>
      <c r="H58" s="91">
        <f t="shared" si="90"/>
        <v>1</v>
      </c>
      <c r="I58" s="129">
        <f t="shared" ref="I58" si="347">G58*H58</f>
        <v>373.60000000000036</v>
      </c>
      <c r="J58" s="126">
        <v>6154.6</v>
      </c>
      <c r="K58" s="127">
        <f t="shared" ref="K58" si="348">J57</f>
        <v>5989.7</v>
      </c>
      <c r="L58" s="129">
        <f t="shared" ref="L58" si="349">J58-K58</f>
        <v>164.90000000000055</v>
      </c>
      <c r="M58" s="127">
        <f t="shared" si="94"/>
        <v>1</v>
      </c>
      <c r="N58" s="129">
        <f t="shared" ref="N58" si="350">L58*M58</f>
        <v>164.90000000000055</v>
      </c>
      <c r="O58" s="127">
        <f t="shared" ref="O58" si="351">N58-I58</f>
        <v>-208.69999999999982</v>
      </c>
      <c r="P58" s="126">
        <v>9310</v>
      </c>
      <c r="Q58" s="127">
        <f t="shared" ref="Q58" si="352">P57</f>
        <v>9024.2000000000007</v>
      </c>
      <c r="R58" s="129">
        <f t="shared" ref="R58" si="353">P58-Q58</f>
        <v>285.79999999999927</v>
      </c>
      <c r="S58" s="127">
        <f t="shared" si="99"/>
        <v>1</v>
      </c>
      <c r="T58" s="129">
        <f t="shared" ref="T58" si="354">R58*S58</f>
        <v>285.79999999999927</v>
      </c>
      <c r="U58" s="126">
        <v>2.94</v>
      </c>
      <c r="V58" s="126">
        <v>0.94</v>
      </c>
      <c r="W58" s="25"/>
    </row>
    <row r="59" spans="1:23" ht="15.75" x14ac:dyDescent="0.25">
      <c r="A59" s="135">
        <v>49</v>
      </c>
      <c r="B59" s="116" t="s">
        <v>309</v>
      </c>
      <c r="C59" s="138" t="s">
        <v>201</v>
      </c>
      <c r="D59" s="138" t="s">
        <v>124</v>
      </c>
      <c r="E59" s="135">
        <v>9846.7000000000007</v>
      </c>
      <c r="F59" s="136">
        <f t="shared" ref="F59" si="355">E58</f>
        <v>9500.2000000000007</v>
      </c>
      <c r="G59" s="138">
        <f t="shared" ref="G59:G61" si="356">E59-F59</f>
        <v>346.5</v>
      </c>
      <c r="H59" s="91">
        <f t="shared" si="90"/>
        <v>1</v>
      </c>
      <c r="I59" s="138">
        <f t="shared" ref="I59:I61" si="357">G59*H59</f>
        <v>346.5</v>
      </c>
      <c r="J59" s="135">
        <v>6305.8</v>
      </c>
      <c r="K59" s="136">
        <f t="shared" ref="K59" si="358">J58</f>
        <v>6154.6</v>
      </c>
      <c r="L59" s="138">
        <f t="shared" ref="L59:L61" si="359">J59-K59</f>
        <v>151.19999999999982</v>
      </c>
      <c r="M59" s="136">
        <f t="shared" si="94"/>
        <v>1</v>
      </c>
      <c r="N59" s="138">
        <f t="shared" ref="N59:N61" si="360">L59*M59</f>
        <v>151.19999999999982</v>
      </c>
      <c r="O59" s="136">
        <f t="shared" ref="O59:O61" si="361">N59-I59</f>
        <v>-195.30000000000018</v>
      </c>
      <c r="P59" s="135">
        <v>9559</v>
      </c>
      <c r="Q59" s="136">
        <f t="shared" ref="Q59" si="362">P58</f>
        <v>9310</v>
      </c>
      <c r="R59" s="138">
        <f t="shared" ref="R59:R61" si="363">P59-Q59</f>
        <v>249</v>
      </c>
      <c r="S59" s="136">
        <f t="shared" si="99"/>
        <v>1</v>
      </c>
      <c r="T59" s="138">
        <f t="shared" ref="T59:T61" si="364">R59*S59</f>
        <v>249</v>
      </c>
      <c r="U59" s="135">
        <v>2.84</v>
      </c>
      <c r="V59" s="135">
        <v>0.91</v>
      </c>
      <c r="W59" s="25"/>
    </row>
    <row r="60" spans="1:23" ht="15.75" x14ac:dyDescent="0.25">
      <c r="A60" s="151">
        <v>50</v>
      </c>
      <c r="B60" s="116" t="s">
        <v>310</v>
      </c>
      <c r="C60" s="149" t="s">
        <v>201</v>
      </c>
      <c r="D60" s="149" t="s">
        <v>124</v>
      </c>
      <c r="E60" s="151">
        <v>10199.700000000001</v>
      </c>
      <c r="F60" s="150">
        <f t="shared" ref="F60" si="365">E58</f>
        <v>9500.2000000000007</v>
      </c>
      <c r="G60" s="149">
        <f t="shared" si="356"/>
        <v>699.5</v>
      </c>
      <c r="H60" s="91">
        <f>H58</f>
        <v>1</v>
      </c>
      <c r="I60" s="149">
        <f t="shared" si="357"/>
        <v>699.5</v>
      </c>
      <c r="J60" s="151">
        <v>6411.2</v>
      </c>
      <c r="K60" s="150">
        <f t="shared" ref="K60" si="366">J58</f>
        <v>6154.6</v>
      </c>
      <c r="L60" s="149">
        <f t="shared" si="359"/>
        <v>256.59999999999945</v>
      </c>
      <c r="M60" s="150">
        <f>M58</f>
        <v>1</v>
      </c>
      <c r="N60" s="149">
        <f t="shared" si="360"/>
        <v>256.59999999999945</v>
      </c>
      <c r="O60" s="150">
        <f t="shared" si="361"/>
        <v>-442.90000000000055</v>
      </c>
      <c r="P60" s="151">
        <v>9766.7000000000007</v>
      </c>
      <c r="Q60" s="150">
        <f t="shared" ref="Q60" si="367">P58</f>
        <v>9310</v>
      </c>
      <c r="R60" s="149">
        <f t="shared" si="363"/>
        <v>456.70000000000073</v>
      </c>
      <c r="S60" s="150">
        <f>S58</f>
        <v>1</v>
      </c>
      <c r="T60" s="149">
        <f t="shared" si="364"/>
        <v>456.70000000000073</v>
      </c>
      <c r="U60" s="151">
        <v>2.81</v>
      </c>
      <c r="V60" s="151">
        <v>0.93</v>
      </c>
      <c r="W60" s="25"/>
    </row>
    <row r="61" spans="1:23" ht="15.75" x14ac:dyDescent="0.25">
      <c r="A61" s="155">
        <v>51</v>
      </c>
      <c r="B61" s="116" t="s">
        <v>316</v>
      </c>
      <c r="C61" s="149" t="s">
        <v>201</v>
      </c>
      <c r="D61" s="149" t="s">
        <v>124</v>
      </c>
      <c r="E61" s="151">
        <v>10199.700000000001</v>
      </c>
      <c r="F61" s="150">
        <f t="shared" ref="F61" si="368">E58</f>
        <v>9500.2000000000007</v>
      </c>
      <c r="G61" s="149">
        <f t="shared" si="356"/>
        <v>699.5</v>
      </c>
      <c r="H61" s="91">
        <f>H58</f>
        <v>1</v>
      </c>
      <c r="I61" s="149">
        <f t="shared" si="357"/>
        <v>699.5</v>
      </c>
      <c r="J61" s="151">
        <v>6411.2</v>
      </c>
      <c r="K61" s="150">
        <f t="shared" ref="K61" si="369">J58</f>
        <v>6154.6</v>
      </c>
      <c r="L61" s="149">
        <f t="shared" si="359"/>
        <v>256.59999999999945</v>
      </c>
      <c r="M61" s="150">
        <f>M58</f>
        <v>1</v>
      </c>
      <c r="N61" s="149">
        <f t="shared" si="360"/>
        <v>256.59999999999945</v>
      </c>
      <c r="O61" s="150">
        <f t="shared" si="361"/>
        <v>-442.90000000000055</v>
      </c>
      <c r="P61" s="151">
        <v>9766.7000000000007</v>
      </c>
      <c r="Q61" s="150">
        <f t="shared" ref="Q61" si="370">P58</f>
        <v>9310</v>
      </c>
      <c r="R61" s="149">
        <f t="shared" si="363"/>
        <v>456.70000000000073</v>
      </c>
      <c r="S61" s="150">
        <f>S58</f>
        <v>1</v>
      </c>
      <c r="T61" s="149">
        <f t="shared" si="364"/>
        <v>456.70000000000073</v>
      </c>
      <c r="U61" s="151">
        <v>2.81</v>
      </c>
      <c r="V61" s="151">
        <v>0.93</v>
      </c>
      <c r="W61" s="25"/>
    </row>
    <row r="62" spans="1:23" ht="15.75" x14ac:dyDescent="0.25">
      <c r="A62" s="155">
        <v>52</v>
      </c>
      <c r="B62" s="116" t="s">
        <v>319</v>
      </c>
      <c r="C62" s="142" t="s">
        <v>201</v>
      </c>
      <c r="D62" s="142" t="s">
        <v>124</v>
      </c>
      <c r="E62" s="139">
        <v>10786</v>
      </c>
      <c r="F62" s="140">
        <v>10199.700000000001</v>
      </c>
      <c r="G62" s="142">
        <f t="shared" ref="G62:G64" si="371">E62-F62</f>
        <v>586.29999999999927</v>
      </c>
      <c r="H62" s="91">
        <f>H59</f>
        <v>1</v>
      </c>
      <c r="I62" s="142">
        <f t="shared" ref="I62:I64" si="372">G62*H62</f>
        <v>586.29999999999927</v>
      </c>
      <c r="J62" s="139">
        <v>6411.2</v>
      </c>
      <c r="K62" s="140">
        <f t="shared" ref="K62" si="373">J59</f>
        <v>6305.8</v>
      </c>
      <c r="L62" s="142">
        <f t="shared" ref="L62:L64" si="374">J62-K62</f>
        <v>105.39999999999964</v>
      </c>
      <c r="M62" s="140">
        <f>M59</f>
        <v>1</v>
      </c>
      <c r="N62" s="142">
        <f t="shared" ref="N62:N64" si="375">L62*M62</f>
        <v>105.39999999999964</v>
      </c>
      <c r="O62" s="140">
        <f t="shared" ref="O62:O64" si="376">N62-I62</f>
        <v>-480.89999999999964</v>
      </c>
      <c r="P62" s="139">
        <v>9766.7000000000007</v>
      </c>
      <c r="Q62" s="140">
        <f t="shared" ref="Q62" si="377">P59</f>
        <v>9559</v>
      </c>
      <c r="R62" s="142">
        <f t="shared" ref="R62:R64" si="378">P62-Q62</f>
        <v>207.70000000000073</v>
      </c>
      <c r="S62" s="140">
        <f>S59</f>
        <v>1</v>
      </c>
      <c r="T62" s="142">
        <f t="shared" ref="T62:T64" si="379">R62*S62</f>
        <v>207.70000000000073</v>
      </c>
      <c r="U62" s="139">
        <v>2.81</v>
      </c>
      <c r="V62" s="139">
        <v>0.93</v>
      </c>
      <c r="W62" s="25"/>
    </row>
    <row r="63" spans="1:23" ht="15.75" x14ac:dyDescent="0.25">
      <c r="A63" s="170">
        <v>53</v>
      </c>
      <c r="B63" s="116" t="s">
        <v>321</v>
      </c>
      <c r="C63" s="168" t="s">
        <v>201</v>
      </c>
      <c r="D63" s="168" t="s">
        <v>124</v>
      </c>
      <c r="E63" s="170">
        <v>11033.8</v>
      </c>
      <c r="F63" s="170">
        <v>10786</v>
      </c>
      <c r="G63" s="168">
        <f t="shared" si="371"/>
        <v>247.79999999999927</v>
      </c>
      <c r="H63" s="91">
        <f>H59</f>
        <v>1</v>
      </c>
      <c r="I63" s="168">
        <f t="shared" si="372"/>
        <v>247.79999999999927</v>
      </c>
      <c r="J63" s="170">
        <v>6909.1</v>
      </c>
      <c r="K63" s="170">
        <v>6411.2</v>
      </c>
      <c r="L63" s="168">
        <f t="shared" si="374"/>
        <v>497.90000000000055</v>
      </c>
      <c r="M63" s="169">
        <f>M59</f>
        <v>1</v>
      </c>
      <c r="N63" s="168">
        <f t="shared" si="375"/>
        <v>497.90000000000055</v>
      </c>
      <c r="O63" s="169">
        <f t="shared" si="376"/>
        <v>250.10000000000127</v>
      </c>
      <c r="P63" s="170">
        <v>10498.2</v>
      </c>
      <c r="Q63" s="170">
        <v>9766.7000000000007</v>
      </c>
      <c r="R63" s="168">
        <f t="shared" si="378"/>
        <v>731.5</v>
      </c>
      <c r="S63" s="169">
        <f>S59</f>
        <v>1</v>
      </c>
      <c r="T63" s="168">
        <f t="shared" si="379"/>
        <v>731.5</v>
      </c>
      <c r="U63" s="170">
        <v>2.4700000000000002</v>
      </c>
      <c r="V63" s="170">
        <v>0.96</v>
      </c>
      <c r="W63" s="25"/>
    </row>
    <row r="64" spans="1:23" ht="15.75" x14ac:dyDescent="0.25">
      <c r="A64" s="175">
        <v>54</v>
      </c>
      <c r="B64" s="116" t="s">
        <v>327</v>
      </c>
      <c r="C64" s="178" t="s">
        <v>201</v>
      </c>
      <c r="D64" s="178" t="s">
        <v>124</v>
      </c>
      <c r="E64" s="175">
        <v>11315.3</v>
      </c>
      <c r="F64" s="175">
        <v>11033.8</v>
      </c>
      <c r="G64" s="178">
        <f t="shared" si="371"/>
        <v>281.5</v>
      </c>
      <c r="H64" s="91">
        <f>H59</f>
        <v>1</v>
      </c>
      <c r="I64" s="178">
        <f t="shared" si="372"/>
        <v>281.5</v>
      </c>
      <c r="J64" s="175">
        <v>7012.3</v>
      </c>
      <c r="K64" s="175">
        <v>6909.1</v>
      </c>
      <c r="L64" s="178">
        <f t="shared" si="374"/>
        <v>103.19999999999982</v>
      </c>
      <c r="M64" s="176">
        <f>M59</f>
        <v>1</v>
      </c>
      <c r="N64" s="178">
        <f t="shared" si="375"/>
        <v>103.19999999999982</v>
      </c>
      <c r="O64" s="176">
        <f t="shared" si="376"/>
        <v>-178.30000000000018</v>
      </c>
      <c r="P64" s="175">
        <v>10675.4</v>
      </c>
      <c r="Q64" s="175">
        <v>10498</v>
      </c>
      <c r="R64" s="178">
        <f t="shared" si="378"/>
        <v>177.39999999999964</v>
      </c>
      <c r="S64" s="176">
        <f>S59</f>
        <v>1</v>
      </c>
      <c r="T64" s="178">
        <f t="shared" si="379"/>
        <v>177.39999999999964</v>
      </c>
      <c r="U64" s="175">
        <v>2.95</v>
      </c>
      <c r="V64" s="175">
        <v>0.99</v>
      </c>
      <c r="W64" s="25"/>
    </row>
    <row r="65" spans="1:23" ht="15.75" x14ac:dyDescent="0.25">
      <c r="A65" s="155">
        <v>55</v>
      </c>
      <c r="B65" s="116" t="s">
        <v>330</v>
      </c>
      <c r="C65" s="158" t="s">
        <v>201</v>
      </c>
      <c r="D65" s="158" t="s">
        <v>124</v>
      </c>
      <c r="E65" s="155">
        <v>11640.2</v>
      </c>
      <c r="F65" s="175">
        <v>11315.3</v>
      </c>
      <c r="G65" s="158">
        <f t="shared" ref="G65:G66" si="380">E65-F65</f>
        <v>324.90000000000146</v>
      </c>
      <c r="H65" s="91">
        <f>H60</f>
        <v>1</v>
      </c>
      <c r="I65" s="158">
        <f t="shared" ref="I65:I66" si="381">G65*H65</f>
        <v>324.90000000000146</v>
      </c>
      <c r="J65" s="155">
        <v>7096.6</v>
      </c>
      <c r="K65" s="175">
        <v>7012.3</v>
      </c>
      <c r="L65" s="158">
        <f t="shared" ref="L65:L66" si="382">J65-K65</f>
        <v>84.300000000000182</v>
      </c>
      <c r="M65" s="156">
        <f>M60</f>
        <v>1</v>
      </c>
      <c r="N65" s="158">
        <f t="shared" ref="N65:N66" si="383">L65*M65</f>
        <v>84.300000000000182</v>
      </c>
      <c r="O65" s="156">
        <f t="shared" ref="O65:O66" si="384">N65-I65</f>
        <v>-240.60000000000127</v>
      </c>
      <c r="P65" s="155">
        <v>10836.9</v>
      </c>
      <c r="Q65" s="175">
        <v>10675.4</v>
      </c>
      <c r="R65" s="158">
        <f t="shared" ref="R65:R66" si="385">P65-Q65</f>
        <v>161.5</v>
      </c>
      <c r="S65" s="156">
        <f>S60</f>
        <v>1</v>
      </c>
      <c r="T65" s="158">
        <f t="shared" ref="T65:T66" si="386">R65*S65</f>
        <v>161.5</v>
      </c>
      <c r="U65" s="155">
        <v>2.52</v>
      </c>
      <c r="V65" s="155">
        <v>0.98</v>
      </c>
      <c r="W65" s="25"/>
    </row>
    <row r="66" spans="1:23" ht="15.75" x14ac:dyDescent="0.25">
      <c r="A66" s="183">
        <v>56</v>
      </c>
      <c r="B66" s="116" t="s">
        <v>331</v>
      </c>
      <c r="C66" s="186" t="s">
        <v>201</v>
      </c>
      <c r="D66" s="186" t="s">
        <v>124</v>
      </c>
      <c r="E66" s="183">
        <v>11689</v>
      </c>
      <c r="F66" s="183">
        <v>11640.2</v>
      </c>
      <c r="G66" s="186">
        <f t="shared" si="380"/>
        <v>48.799999999999272</v>
      </c>
      <c r="H66" s="91">
        <f>H60</f>
        <v>1</v>
      </c>
      <c r="I66" s="186">
        <f t="shared" si="381"/>
        <v>48.799999999999272</v>
      </c>
      <c r="J66" s="183">
        <v>7208.4</v>
      </c>
      <c r="K66" s="183">
        <v>7096.6</v>
      </c>
      <c r="L66" s="186">
        <f t="shared" si="382"/>
        <v>111.79999999999927</v>
      </c>
      <c r="M66" s="184">
        <f>M60</f>
        <v>1</v>
      </c>
      <c r="N66" s="186">
        <f t="shared" si="383"/>
        <v>111.79999999999927</v>
      </c>
      <c r="O66" s="184">
        <f t="shared" si="384"/>
        <v>63</v>
      </c>
      <c r="P66" s="183">
        <v>11066.9</v>
      </c>
      <c r="Q66" s="183">
        <v>10836.9</v>
      </c>
      <c r="R66" s="186">
        <f t="shared" si="385"/>
        <v>230</v>
      </c>
      <c r="S66" s="184">
        <f>S60</f>
        <v>1</v>
      </c>
      <c r="T66" s="186">
        <f t="shared" si="386"/>
        <v>230</v>
      </c>
      <c r="U66" s="183">
        <v>2.48</v>
      </c>
      <c r="V66" s="183">
        <v>0.99</v>
      </c>
      <c r="W66" s="25"/>
    </row>
    <row r="67" spans="1:23" ht="15.75" x14ac:dyDescent="0.25">
      <c r="A67" s="182">
        <v>57</v>
      </c>
      <c r="B67" s="116" t="s">
        <v>332</v>
      </c>
      <c r="C67" s="180" t="s">
        <v>201</v>
      </c>
      <c r="D67" s="180" t="s">
        <v>124</v>
      </c>
      <c r="E67" s="182">
        <v>12143.7</v>
      </c>
      <c r="F67" s="182">
        <v>11689</v>
      </c>
      <c r="G67" s="180">
        <f t="shared" ref="G67" si="387">E67-F67</f>
        <v>454.70000000000073</v>
      </c>
      <c r="H67" s="91">
        <f>H61</f>
        <v>1</v>
      </c>
      <c r="I67" s="180">
        <f t="shared" ref="I67" si="388">G67*H67</f>
        <v>454.70000000000073</v>
      </c>
      <c r="J67" s="182">
        <v>7387.8</v>
      </c>
      <c r="K67" s="182">
        <v>7096.6</v>
      </c>
      <c r="L67" s="180">
        <f t="shared" ref="L67" si="389">J67-K67</f>
        <v>291.19999999999982</v>
      </c>
      <c r="M67" s="181">
        <f>M61</f>
        <v>1</v>
      </c>
      <c r="N67" s="180">
        <f t="shared" ref="N67" si="390">L67*M67</f>
        <v>291.19999999999982</v>
      </c>
      <c r="O67" s="181">
        <f t="shared" ref="O67" si="391">N67-I67</f>
        <v>-163.50000000000091</v>
      </c>
      <c r="P67" s="182">
        <v>11305.3</v>
      </c>
      <c r="Q67" s="182">
        <v>11067</v>
      </c>
      <c r="R67" s="180">
        <f t="shared" ref="R67" si="392">P67-Q67</f>
        <v>238.29999999999927</v>
      </c>
      <c r="S67" s="181">
        <f>S61</f>
        <v>1</v>
      </c>
      <c r="T67" s="180">
        <f t="shared" ref="T67" si="393">R67*S67</f>
        <v>238.29999999999927</v>
      </c>
      <c r="U67" s="182">
        <v>2.23</v>
      </c>
      <c r="V67" s="182">
        <v>0.97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2" t="s">
        <v>121</v>
      </c>
      <c r="H68" s="162"/>
      <c r="I68" s="164">
        <f>SUM(I57:I65)</f>
        <v>3784.6000000000004</v>
      </c>
      <c r="J68" s="164"/>
      <c r="K68" s="162"/>
      <c r="L68" s="164"/>
      <c r="M68" s="162"/>
      <c r="N68" s="164">
        <f>SUM(N57:N65)</f>
        <v>1856.5999999999995</v>
      </c>
      <c r="O68" s="164">
        <f>SUM(O57:O65)</f>
        <v>-1928.0000000000009</v>
      </c>
      <c r="P68" s="164"/>
      <c r="Q68" s="162"/>
      <c r="R68" s="164"/>
      <c r="S68" s="162"/>
      <c r="T68" s="164">
        <f>SUM(T57:T65)</f>
        <v>3042.8000000000011</v>
      </c>
      <c r="U68" s="164"/>
      <c r="V68" s="164"/>
      <c r="W68" s="31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92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37"/>
      <c r="V69" s="37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92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37"/>
      <c r="V70" s="37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92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37"/>
      <c r="V71" s="37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38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37"/>
      <c r="V72" s="37"/>
      <c r="W72" s="25"/>
    </row>
    <row r="73" spans="1:23" ht="15.75" x14ac:dyDescent="0.25">
      <c r="A73" s="37"/>
      <c r="B73" s="78"/>
      <c r="C73" s="24"/>
      <c r="D73" s="24"/>
      <c r="E73" s="37">
        <f>E33-E29</f>
        <v>201.10000000000036</v>
      </c>
      <c r="F73" s="38">
        <f>E73/3</f>
        <v>67.033333333333459</v>
      </c>
      <c r="G73" s="24"/>
      <c r="H73" s="38"/>
      <c r="I73" s="24"/>
      <c r="J73" s="37">
        <f>J33-J29</f>
        <v>742.89999999999964</v>
      </c>
      <c r="K73" s="38">
        <f>J73/3</f>
        <v>247.63333333333321</v>
      </c>
      <c r="L73" s="24"/>
      <c r="M73" s="38"/>
      <c r="N73" s="24"/>
      <c r="O73" s="38"/>
      <c r="P73" s="37">
        <f>P33-P29</f>
        <v>834.19999999999982</v>
      </c>
      <c r="Q73" s="38">
        <f>P73/3</f>
        <v>278.06666666666661</v>
      </c>
      <c r="R73" s="24"/>
      <c r="S73" s="38"/>
      <c r="T73" s="24"/>
      <c r="U73" s="37"/>
      <c r="V73" s="37"/>
      <c r="W73" s="25"/>
    </row>
    <row r="74" spans="1:23" ht="15.75" x14ac:dyDescent="0.25">
      <c r="A74" s="37"/>
      <c r="B74" s="78"/>
      <c r="C74" s="24"/>
      <c r="D74" s="24"/>
      <c r="E74" s="37"/>
      <c r="F74" s="38"/>
      <c r="G74" s="24"/>
      <c r="H74" s="38"/>
      <c r="I74" s="24"/>
      <c r="J74" s="37"/>
      <c r="K74" s="38"/>
      <c r="L74" s="24"/>
      <c r="M74" s="38"/>
      <c r="N74" s="24"/>
      <c r="O74" s="38"/>
      <c r="P74" s="37"/>
      <c r="Q74" s="38"/>
      <c r="R74" s="24"/>
      <c r="S74" s="38"/>
      <c r="T74" s="24"/>
      <c r="U74" s="37"/>
      <c r="V74" s="37"/>
      <c r="W74" s="25"/>
    </row>
    <row r="75" spans="1:23" ht="15.75" x14ac:dyDescent="0.25">
      <c r="A75" s="31">
        <v>1</v>
      </c>
      <c r="B75" s="31" t="s">
        <v>23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37"/>
      <c r="Q75" s="38"/>
      <c r="R75" s="24"/>
      <c r="S75" s="38"/>
      <c r="T75" s="24"/>
      <c r="U75" s="25"/>
      <c r="V75" s="25"/>
      <c r="W75" s="25"/>
    </row>
    <row r="76" spans="1:23" ht="15.75" x14ac:dyDescent="0.25">
      <c r="A76" s="31">
        <v>2</v>
      </c>
      <c r="B76" s="31" t="s">
        <v>24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37"/>
      <c r="Q76" s="38"/>
      <c r="R76" s="24"/>
      <c r="S76" s="38"/>
      <c r="T76" s="24"/>
      <c r="U76" s="25"/>
      <c r="V76" s="25"/>
      <c r="W76" s="25"/>
    </row>
    <row r="77" spans="1:23" ht="15.75" x14ac:dyDescent="0.25">
      <c r="A77" s="31">
        <v>3</v>
      </c>
      <c r="B77" s="31" t="s">
        <v>25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37"/>
      <c r="Q77" s="38"/>
      <c r="R77" s="24"/>
      <c r="S77" s="38"/>
      <c r="T77" s="24"/>
      <c r="U77" s="25"/>
      <c r="V77" s="25"/>
      <c r="W77" s="25"/>
    </row>
    <row r="80" spans="1:23" x14ac:dyDescent="0.25">
      <c r="R80" t="s">
        <v>65</v>
      </c>
    </row>
  </sheetData>
  <mergeCells count="20">
    <mergeCell ref="J5:N5"/>
    <mergeCell ref="O5:O6"/>
    <mergeCell ref="P5:T5"/>
    <mergeCell ref="B4:C4"/>
    <mergeCell ref="E4:I4"/>
    <mergeCell ref="J4:L4"/>
    <mergeCell ref="M4:N4"/>
    <mergeCell ref="O4:U4"/>
    <mergeCell ref="A5:A6"/>
    <mergeCell ref="B5:B6"/>
    <mergeCell ref="C5:C6"/>
    <mergeCell ref="D5:D6"/>
    <mergeCell ref="E5:I5"/>
    <mergeCell ref="A1:V1"/>
    <mergeCell ref="A2:V2"/>
    <mergeCell ref="B3:C3"/>
    <mergeCell ref="E3:I3"/>
    <mergeCell ref="J3:L3"/>
    <mergeCell ref="M3:N3"/>
    <mergeCell ref="O3:U3"/>
  </mergeCells>
  <printOptions horizontalCentered="1"/>
  <pageMargins left="0" right="0" top="0.75" bottom="0.75" header="0.3" footer="0.3"/>
  <pageSetup paperSize="9" scale="3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82"/>
  <sheetViews>
    <sheetView view="pageBreakPreview" topLeftCell="A49" zoomScale="85" zoomScaleNormal="85" zoomScaleSheetLayoutView="85" workbookViewId="0">
      <selection activeCell="W67" sqref="W67"/>
    </sheetView>
  </sheetViews>
  <sheetFormatPr defaultRowHeight="15" x14ac:dyDescent="0.25"/>
  <cols>
    <col min="1" max="1" width="7.5703125" customWidth="1"/>
    <col min="2" max="2" width="13" customWidth="1"/>
    <col min="3" max="3" width="24.7109375" bestFit="1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172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173</v>
      </c>
      <c r="C3" s="207"/>
      <c r="D3" s="12" t="s">
        <v>6</v>
      </c>
      <c r="E3" s="201" t="s">
        <v>176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143</v>
      </c>
      <c r="W3" s="25"/>
    </row>
    <row r="4" spans="1:23" ht="15.75" x14ac:dyDescent="0.25">
      <c r="A4" s="12" t="s">
        <v>0</v>
      </c>
      <c r="B4" s="216" t="s">
        <v>174</v>
      </c>
      <c r="C4" s="216"/>
      <c r="D4" s="12" t="s">
        <v>9</v>
      </c>
      <c r="E4" s="201">
        <v>9964247480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>
        <v>43530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175</v>
      </c>
      <c r="D7" s="19" t="s">
        <v>124</v>
      </c>
      <c r="E7" s="17">
        <v>156.5</v>
      </c>
      <c r="F7" s="17">
        <v>3.1</v>
      </c>
      <c r="G7" s="19">
        <f t="shared" ref="G7" si="0">E7-F7</f>
        <v>153.4</v>
      </c>
      <c r="H7" s="17">
        <v>1</v>
      </c>
      <c r="I7" s="19">
        <f t="shared" ref="I7" si="1">G7*H7</f>
        <v>153.4</v>
      </c>
      <c r="J7" s="17">
        <v>126.1</v>
      </c>
      <c r="K7" s="17">
        <v>0.1</v>
      </c>
      <c r="L7" s="19">
        <f t="shared" ref="L7" si="2">J7-K7</f>
        <v>126</v>
      </c>
      <c r="M7" s="17">
        <v>1</v>
      </c>
      <c r="N7" s="19">
        <f t="shared" ref="N7" si="3">L7*M7</f>
        <v>126</v>
      </c>
      <c r="O7" s="17">
        <f>N7-I7</f>
        <v>-27.400000000000006</v>
      </c>
      <c r="P7" s="17">
        <v>2599.6999999999998</v>
      </c>
      <c r="Q7" s="17">
        <v>2334.6999999999998</v>
      </c>
      <c r="R7" s="19">
        <f t="shared" ref="R7" si="4">P7-Q7</f>
        <v>265</v>
      </c>
      <c r="S7" s="17">
        <v>1</v>
      </c>
      <c r="T7" s="19">
        <f t="shared" ref="T7" si="5">R7*S7</f>
        <v>265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175</v>
      </c>
      <c r="D8" s="19" t="s">
        <v>124</v>
      </c>
      <c r="E8" s="17">
        <v>314.39999999999998</v>
      </c>
      <c r="F8" s="17">
        <f t="shared" ref="F8:F13" si="6">E7</f>
        <v>156.5</v>
      </c>
      <c r="G8" s="19">
        <f t="shared" ref="G8" si="7">E8-F8</f>
        <v>157.89999999999998</v>
      </c>
      <c r="H8" s="17">
        <f t="shared" ref="H8:H16" si="8">H7</f>
        <v>1</v>
      </c>
      <c r="I8" s="19">
        <f t="shared" ref="I8" si="9">G8*H8</f>
        <v>157.89999999999998</v>
      </c>
      <c r="J8" s="17">
        <v>241.2</v>
      </c>
      <c r="K8" s="17">
        <f t="shared" ref="K8:K13" si="10">J7</f>
        <v>126.1</v>
      </c>
      <c r="L8" s="19">
        <f t="shared" ref="L8" si="11">J8-K8</f>
        <v>115.1</v>
      </c>
      <c r="M8" s="17">
        <f t="shared" ref="M8:M16" si="12">M7</f>
        <v>1</v>
      </c>
      <c r="N8" s="19">
        <f t="shared" ref="N8" si="13">L8*M8</f>
        <v>115.1</v>
      </c>
      <c r="O8" s="17">
        <f>N8-I8</f>
        <v>-42.799999999999983</v>
      </c>
      <c r="P8" s="17">
        <v>2850.5</v>
      </c>
      <c r="Q8" s="17">
        <f t="shared" ref="Q8:Q13" si="14">P7</f>
        <v>2599.6999999999998</v>
      </c>
      <c r="R8" s="19">
        <f t="shared" ref="R8" si="15">P8-Q8</f>
        <v>250.80000000000018</v>
      </c>
      <c r="S8" s="17">
        <f t="shared" ref="S8:S16" si="16">S7</f>
        <v>1</v>
      </c>
      <c r="T8" s="19">
        <f t="shared" ref="T8" si="17">R8*S8</f>
        <v>250.80000000000018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175</v>
      </c>
      <c r="D9" s="19" t="s">
        <v>124</v>
      </c>
      <c r="E9" s="17">
        <v>459</v>
      </c>
      <c r="F9" s="17">
        <f t="shared" si="6"/>
        <v>314.39999999999998</v>
      </c>
      <c r="G9" s="19">
        <f t="shared" ref="G9" si="18">E9-F9</f>
        <v>144.60000000000002</v>
      </c>
      <c r="H9" s="17">
        <f t="shared" si="8"/>
        <v>1</v>
      </c>
      <c r="I9" s="19">
        <f t="shared" ref="I9" si="19">G9*H9</f>
        <v>144.60000000000002</v>
      </c>
      <c r="J9" s="17">
        <v>342</v>
      </c>
      <c r="K9" s="17">
        <f t="shared" si="10"/>
        <v>241.2</v>
      </c>
      <c r="L9" s="19">
        <f t="shared" ref="L9" si="20">J9-K9</f>
        <v>100.80000000000001</v>
      </c>
      <c r="M9" s="17">
        <f t="shared" si="12"/>
        <v>1</v>
      </c>
      <c r="N9" s="19">
        <f t="shared" ref="N9" si="21">L9*M9</f>
        <v>100.80000000000001</v>
      </c>
      <c r="O9" s="12">
        <f t="shared" ref="O9:O16" si="22">SUM(O7)</f>
        <v>-27.400000000000006</v>
      </c>
      <c r="P9" s="17">
        <v>3063.7</v>
      </c>
      <c r="Q9" s="17">
        <f t="shared" si="14"/>
        <v>2850.5</v>
      </c>
      <c r="R9" s="19">
        <f t="shared" ref="R9" si="23">P9-Q9</f>
        <v>213.19999999999982</v>
      </c>
      <c r="S9" s="17">
        <f t="shared" si="16"/>
        <v>1</v>
      </c>
      <c r="T9" s="19">
        <f t="shared" ref="T9" si="24">R9*S9</f>
        <v>213.19999999999982</v>
      </c>
      <c r="U9" s="17">
        <v>2.04</v>
      </c>
      <c r="V9" s="17">
        <v>0.98</v>
      </c>
      <c r="W9" s="25"/>
    </row>
    <row r="10" spans="1:23" ht="15.75" x14ac:dyDescent="0.25">
      <c r="A10" s="12">
        <v>4</v>
      </c>
      <c r="B10" s="22" t="s">
        <v>244</v>
      </c>
      <c r="C10" s="19" t="s">
        <v>175</v>
      </c>
      <c r="D10" s="19" t="s">
        <v>124</v>
      </c>
      <c r="E10" s="17">
        <v>589.79999999999995</v>
      </c>
      <c r="F10" s="17">
        <f t="shared" si="6"/>
        <v>459</v>
      </c>
      <c r="G10" s="19">
        <f t="shared" ref="G10" si="25">E10-F10</f>
        <v>130.79999999999995</v>
      </c>
      <c r="H10" s="17">
        <f t="shared" si="8"/>
        <v>1</v>
      </c>
      <c r="I10" s="19">
        <f t="shared" ref="I10" si="26">G10*H10</f>
        <v>130.79999999999995</v>
      </c>
      <c r="J10" s="17">
        <v>482.9</v>
      </c>
      <c r="K10" s="17">
        <f t="shared" si="10"/>
        <v>342</v>
      </c>
      <c r="L10" s="19">
        <f t="shared" ref="L10" si="27">J10-K10</f>
        <v>140.89999999999998</v>
      </c>
      <c r="M10" s="17">
        <f t="shared" si="12"/>
        <v>1</v>
      </c>
      <c r="N10" s="19">
        <f t="shared" ref="N10" si="28">L10*M10</f>
        <v>140.89999999999998</v>
      </c>
      <c r="O10" s="12">
        <f t="shared" si="22"/>
        <v>-42.799999999999983</v>
      </c>
      <c r="P10" s="17">
        <v>3267.4</v>
      </c>
      <c r="Q10" s="17">
        <f t="shared" si="14"/>
        <v>3063.7</v>
      </c>
      <c r="R10" s="19">
        <f t="shared" ref="R10" si="29">P10-Q10</f>
        <v>203.70000000000027</v>
      </c>
      <c r="S10" s="17">
        <f t="shared" si="16"/>
        <v>1</v>
      </c>
      <c r="T10" s="19">
        <f t="shared" ref="T10" si="30">R10*S10</f>
        <v>203.70000000000027</v>
      </c>
      <c r="U10" s="17">
        <v>2.4500000000000002</v>
      </c>
      <c r="V10" s="17">
        <v>0.89</v>
      </c>
      <c r="W10" s="25"/>
    </row>
    <row r="11" spans="1:23" ht="15.75" x14ac:dyDescent="0.25">
      <c r="A11" s="12">
        <v>5</v>
      </c>
      <c r="B11" s="22" t="s">
        <v>245</v>
      </c>
      <c r="C11" s="19" t="s">
        <v>175</v>
      </c>
      <c r="D11" s="19" t="s">
        <v>124</v>
      </c>
      <c r="E11" s="17">
        <v>720</v>
      </c>
      <c r="F11" s="17">
        <f t="shared" si="6"/>
        <v>589.79999999999995</v>
      </c>
      <c r="G11" s="19">
        <f t="shared" ref="G11" si="31">E11-F11</f>
        <v>130.20000000000005</v>
      </c>
      <c r="H11" s="17">
        <f t="shared" si="8"/>
        <v>1</v>
      </c>
      <c r="I11" s="19">
        <f t="shared" ref="I11" si="32">G11*H11</f>
        <v>130.20000000000005</v>
      </c>
      <c r="J11" s="17">
        <v>627</v>
      </c>
      <c r="K11" s="17">
        <f t="shared" si="10"/>
        <v>482.9</v>
      </c>
      <c r="L11" s="19">
        <f t="shared" ref="L11" si="33">J11-K11</f>
        <v>144.10000000000002</v>
      </c>
      <c r="M11" s="17">
        <f t="shared" si="12"/>
        <v>1</v>
      </c>
      <c r="N11" s="19">
        <f t="shared" ref="N11" si="34">L11*M11</f>
        <v>144.10000000000002</v>
      </c>
      <c r="O11" s="12">
        <f t="shared" si="22"/>
        <v>-27.400000000000006</v>
      </c>
      <c r="P11" s="17">
        <v>3600</v>
      </c>
      <c r="Q11" s="17">
        <f t="shared" si="14"/>
        <v>3267.4</v>
      </c>
      <c r="R11" s="19">
        <f t="shared" ref="R11" si="35">P11-Q11</f>
        <v>332.59999999999991</v>
      </c>
      <c r="S11" s="17">
        <f t="shared" si="16"/>
        <v>1</v>
      </c>
      <c r="T11" s="19">
        <f t="shared" ref="T11" si="36">R11*S11</f>
        <v>332.59999999999991</v>
      </c>
      <c r="U11" s="17">
        <v>2.15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175</v>
      </c>
      <c r="D12" s="19" t="s">
        <v>124</v>
      </c>
      <c r="E12" s="12">
        <v>846</v>
      </c>
      <c r="F12" s="17">
        <f t="shared" si="6"/>
        <v>720</v>
      </c>
      <c r="G12" s="19">
        <f t="shared" ref="G12" si="37">E12-F12</f>
        <v>126</v>
      </c>
      <c r="H12" s="17">
        <f t="shared" si="8"/>
        <v>1</v>
      </c>
      <c r="I12" s="19">
        <f t="shared" ref="I12" si="38">G12*H12</f>
        <v>126</v>
      </c>
      <c r="J12" s="12">
        <v>747</v>
      </c>
      <c r="K12" s="17">
        <f t="shared" si="10"/>
        <v>627</v>
      </c>
      <c r="L12" s="19">
        <f t="shared" ref="L12" si="39">J12-K12</f>
        <v>120</v>
      </c>
      <c r="M12" s="17">
        <f t="shared" si="12"/>
        <v>1</v>
      </c>
      <c r="N12" s="19">
        <f t="shared" ref="N12" si="40">L12*M12</f>
        <v>120</v>
      </c>
      <c r="O12" s="12">
        <f t="shared" si="22"/>
        <v>-42.799999999999983</v>
      </c>
      <c r="P12" s="17">
        <v>3878.6</v>
      </c>
      <c r="Q12" s="17">
        <f t="shared" si="14"/>
        <v>3600</v>
      </c>
      <c r="R12" s="19">
        <f t="shared" ref="R12" si="41">P12-Q12</f>
        <v>278.59999999999991</v>
      </c>
      <c r="S12" s="17">
        <f t="shared" si="16"/>
        <v>1</v>
      </c>
      <c r="T12" s="19">
        <f t="shared" ref="T12" si="42">R12*S12</f>
        <v>278.59999999999991</v>
      </c>
      <c r="U12" s="19">
        <v>2.12</v>
      </c>
      <c r="V12" s="19">
        <v>0.88</v>
      </c>
      <c r="W12" s="25"/>
    </row>
    <row r="13" spans="1:23" ht="15.75" x14ac:dyDescent="0.25">
      <c r="A13" s="12">
        <v>7</v>
      </c>
      <c r="B13" s="22" t="s">
        <v>252</v>
      </c>
      <c r="C13" s="19" t="s">
        <v>175</v>
      </c>
      <c r="D13" s="19" t="s">
        <v>124</v>
      </c>
      <c r="E13" s="12">
        <v>965</v>
      </c>
      <c r="F13" s="17">
        <f t="shared" si="6"/>
        <v>846</v>
      </c>
      <c r="G13" s="19">
        <f t="shared" ref="G13" si="43">E13-F13</f>
        <v>119</v>
      </c>
      <c r="H13" s="17">
        <f t="shared" si="8"/>
        <v>1</v>
      </c>
      <c r="I13" s="19">
        <f t="shared" ref="I13" si="44">G13*H13</f>
        <v>119</v>
      </c>
      <c r="J13" s="12">
        <v>891</v>
      </c>
      <c r="K13" s="17">
        <f t="shared" si="10"/>
        <v>747</v>
      </c>
      <c r="L13" s="19">
        <f t="shared" ref="L13" si="45">J13-K13</f>
        <v>144</v>
      </c>
      <c r="M13" s="17">
        <f t="shared" si="12"/>
        <v>1</v>
      </c>
      <c r="N13" s="19">
        <f t="shared" ref="N13" si="46">L13*M13</f>
        <v>144</v>
      </c>
      <c r="O13" s="12">
        <f t="shared" si="22"/>
        <v>-27.400000000000006</v>
      </c>
      <c r="P13" s="12">
        <v>4160</v>
      </c>
      <c r="Q13" s="17">
        <f t="shared" si="14"/>
        <v>3878.6</v>
      </c>
      <c r="R13" s="19">
        <f t="shared" ref="R13" si="47">P13-Q13</f>
        <v>281.40000000000009</v>
      </c>
      <c r="S13" s="17">
        <f t="shared" si="16"/>
        <v>1</v>
      </c>
      <c r="T13" s="19">
        <f t="shared" ref="T13" si="48">R13*S13</f>
        <v>281.40000000000009</v>
      </c>
      <c r="U13" s="19"/>
      <c r="V13" s="19"/>
      <c r="W13" s="25"/>
    </row>
    <row r="14" spans="1:23" ht="15.75" x14ac:dyDescent="0.25">
      <c r="A14" s="12">
        <v>8</v>
      </c>
      <c r="B14" s="22" t="s">
        <v>253</v>
      </c>
      <c r="C14" s="19" t="s">
        <v>175</v>
      </c>
      <c r="D14" s="19" t="s">
        <v>124</v>
      </c>
      <c r="E14" s="12">
        <v>1075</v>
      </c>
      <c r="F14" s="17">
        <f t="shared" ref="F14" si="49">E13</f>
        <v>965</v>
      </c>
      <c r="G14" s="19">
        <f t="shared" ref="G14" si="50">E14-F14</f>
        <v>110</v>
      </c>
      <c r="H14" s="17">
        <f t="shared" si="8"/>
        <v>1</v>
      </c>
      <c r="I14" s="19">
        <f t="shared" ref="I14" si="51">G14*H14</f>
        <v>110</v>
      </c>
      <c r="J14" s="12">
        <v>1075</v>
      </c>
      <c r="K14" s="17">
        <f t="shared" ref="K14" si="52">J13</f>
        <v>891</v>
      </c>
      <c r="L14" s="19">
        <f t="shared" ref="L14" si="53">J14-K14</f>
        <v>184</v>
      </c>
      <c r="M14" s="17">
        <f t="shared" si="12"/>
        <v>1</v>
      </c>
      <c r="N14" s="19">
        <f t="shared" ref="N14" si="54">L14*M14</f>
        <v>184</v>
      </c>
      <c r="O14" s="12">
        <f t="shared" si="22"/>
        <v>-42.799999999999983</v>
      </c>
      <c r="P14" s="12">
        <v>4493.8</v>
      </c>
      <c r="Q14" s="17">
        <f t="shared" ref="Q14" si="55">P13</f>
        <v>4160</v>
      </c>
      <c r="R14" s="19">
        <f t="shared" ref="R14" si="56">P14-Q14</f>
        <v>333.80000000000018</v>
      </c>
      <c r="S14" s="17">
        <f t="shared" si="16"/>
        <v>1</v>
      </c>
      <c r="T14" s="19">
        <f t="shared" ref="T14" si="57">R14*S14</f>
        <v>333.80000000000018</v>
      </c>
      <c r="U14" s="19"/>
      <c r="V14" s="19"/>
      <c r="W14" s="25"/>
    </row>
    <row r="15" spans="1:23" ht="15.75" x14ac:dyDescent="0.25">
      <c r="A15" s="12">
        <v>9</v>
      </c>
      <c r="B15" s="22" t="s">
        <v>254</v>
      </c>
      <c r="C15" s="19" t="s">
        <v>175</v>
      </c>
      <c r="D15" s="19" t="s">
        <v>124</v>
      </c>
      <c r="E15" s="12">
        <v>1160</v>
      </c>
      <c r="F15" s="17">
        <f t="shared" ref="F15" si="58">E14</f>
        <v>1075</v>
      </c>
      <c r="G15" s="19">
        <f t="shared" ref="G15" si="59">E15-F15</f>
        <v>85</v>
      </c>
      <c r="H15" s="17">
        <f t="shared" si="8"/>
        <v>1</v>
      </c>
      <c r="I15" s="19">
        <f t="shared" ref="I15" si="60">G15*H15</f>
        <v>85</v>
      </c>
      <c r="J15" s="12">
        <v>1299.2</v>
      </c>
      <c r="K15" s="17">
        <f t="shared" ref="K15" si="61">J14</f>
        <v>1075</v>
      </c>
      <c r="L15" s="19">
        <f t="shared" ref="L15" si="62">J15-K15</f>
        <v>224.20000000000005</v>
      </c>
      <c r="M15" s="17">
        <f t="shared" si="12"/>
        <v>1</v>
      </c>
      <c r="N15" s="19">
        <f t="shared" ref="N15" si="63">L15*M15</f>
        <v>224.20000000000005</v>
      </c>
      <c r="O15" s="12">
        <f t="shared" si="22"/>
        <v>-27.400000000000006</v>
      </c>
      <c r="P15" s="12">
        <v>4823.3</v>
      </c>
      <c r="Q15" s="17">
        <f t="shared" ref="Q15" si="64">P14</f>
        <v>4493.8</v>
      </c>
      <c r="R15" s="19">
        <f t="shared" ref="R15" si="65">P15-Q15</f>
        <v>329.5</v>
      </c>
      <c r="S15" s="17">
        <f t="shared" si="16"/>
        <v>1</v>
      </c>
      <c r="T15" s="19">
        <f t="shared" ref="T15" si="66">R15*S15</f>
        <v>329.5</v>
      </c>
      <c r="U15" s="19">
        <v>0.88</v>
      </c>
      <c r="V15" s="19">
        <v>0.82</v>
      </c>
      <c r="W15" s="25"/>
    </row>
    <row r="16" spans="1:23" ht="15.75" x14ac:dyDescent="0.25">
      <c r="A16" s="12">
        <v>10</v>
      </c>
      <c r="B16" s="22" t="s">
        <v>258</v>
      </c>
      <c r="C16" s="19" t="s">
        <v>175</v>
      </c>
      <c r="D16" s="19" t="s">
        <v>124</v>
      </c>
      <c r="E16" s="12">
        <f>E15+83</f>
        <v>1243</v>
      </c>
      <c r="F16" s="17">
        <f t="shared" ref="F16" si="67">E15</f>
        <v>1160</v>
      </c>
      <c r="G16" s="19">
        <f t="shared" ref="G16" si="68">E16-F16</f>
        <v>83</v>
      </c>
      <c r="H16" s="17">
        <f t="shared" si="8"/>
        <v>1</v>
      </c>
      <c r="I16" s="19">
        <f t="shared" ref="I16" si="69">G16*H16</f>
        <v>83</v>
      </c>
      <c r="J16" s="12">
        <f>J15+212</f>
        <v>1511.2</v>
      </c>
      <c r="K16" s="17">
        <f t="shared" ref="K16" si="70">J15</f>
        <v>1299.2</v>
      </c>
      <c r="L16" s="19">
        <f t="shared" ref="L16" si="71">J16-K16</f>
        <v>212</v>
      </c>
      <c r="M16" s="17">
        <f t="shared" si="12"/>
        <v>1</v>
      </c>
      <c r="N16" s="19">
        <f t="shared" ref="N16" si="72">L16*M16</f>
        <v>212</v>
      </c>
      <c r="O16" s="12">
        <f t="shared" si="22"/>
        <v>-42.799999999999983</v>
      </c>
      <c r="P16" s="12">
        <f>P15+323</f>
        <v>5146.3</v>
      </c>
      <c r="Q16" s="17">
        <f t="shared" ref="Q16" si="73">P15</f>
        <v>4823.3</v>
      </c>
      <c r="R16" s="19">
        <f t="shared" ref="R16" si="74">P16-Q16</f>
        <v>323</v>
      </c>
      <c r="S16" s="17">
        <f t="shared" si="16"/>
        <v>1</v>
      </c>
      <c r="T16" s="19">
        <f t="shared" ref="T16" si="75">R16*S16</f>
        <v>323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17" t="s">
        <v>121</v>
      </c>
      <c r="I17" s="12">
        <f>SUM(I7:I16)</f>
        <v>1239.9000000000001</v>
      </c>
      <c r="J17" s="12"/>
      <c r="K17" s="17"/>
      <c r="L17" s="12"/>
      <c r="M17" s="17"/>
      <c r="N17" s="12">
        <f t="shared" ref="N17:O17" si="76">SUM(N7:N16)</f>
        <v>1511.1000000000001</v>
      </c>
      <c r="O17" s="12">
        <f t="shared" si="76"/>
        <v>-350.99999999999989</v>
      </c>
      <c r="P17" s="12"/>
      <c r="Q17" s="17"/>
      <c r="R17" s="12"/>
      <c r="S17" s="17"/>
      <c r="T17" s="12">
        <f>SUM(T7:T16)</f>
        <v>2811.6000000000004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201</v>
      </c>
      <c r="D18" s="19" t="s">
        <v>124</v>
      </c>
      <c r="E18" s="12">
        <v>1353.6</v>
      </c>
      <c r="F18" s="17">
        <f>E16</f>
        <v>1243</v>
      </c>
      <c r="G18" s="19">
        <f t="shared" ref="G18" si="77">E18-F18</f>
        <v>110.59999999999991</v>
      </c>
      <c r="H18" s="91">
        <v>1</v>
      </c>
      <c r="I18" s="19">
        <f t="shared" ref="I18" si="78">G18*H18</f>
        <v>110.59999999999991</v>
      </c>
      <c r="J18" s="12">
        <v>1730.5</v>
      </c>
      <c r="K18" s="17">
        <f>J16</f>
        <v>1511.2</v>
      </c>
      <c r="L18" s="19">
        <f t="shared" ref="L18" si="79">J18-K18</f>
        <v>219.29999999999995</v>
      </c>
      <c r="M18" s="17">
        <f>M16</f>
        <v>1</v>
      </c>
      <c r="N18" s="19">
        <f t="shared" ref="N18" si="80">L18*M18</f>
        <v>219.29999999999995</v>
      </c>
      <c r="O18" s="17">
        <f t="shared" ref="O18" si="81">N18-I18</f>
        <v>108.70000000000005</v>
      </c>
      <c r="P18" s="12">
        <v>5503.9</v>
      </c>
      <c r="Q18" s="17">
        <f>P16</f>
        <v>5146.3</v>
      </c>
      <c r="R18" s="19">
        <f t="shared" ref="R18" si="82">P18-Q18</f>
        <v>357.59999999999945</v>
      </c>
      <c r="S18" s="17">
        <f>S16</f>
        <v>1</v>
      </c>
      <c r="T18" s="19">
        <f t="shared" ref="T18" si="83">R18*S18</f>
        <v>357.59999999999945</v>
      </c>
      <c r="U18" s="12"/>
      <c r="V18" s="12">
        <v>0.83</v>
      </c>
      <c r="W18" s="25"/>
    </row>
    <row r="19" spans="1:23" ht="15.75" x14ac:dyDescent="0.25">
      <c r="A19" s="12">
        <v>12</v>
      </c>
      <c r="B19" s="22" t="s">
        <v>263</v>
      </c>
      <c r="C19" s="19" t="s">
        <v>201</v>
      </c>
      <c r="D19" s="19" t="s">
        <v>124</v>
      </c>
      <c r="E19" s="12">
        <v>1450.4</v>
      </c>
      <c r="F19" s="17">
        <f t="shared" ref="F19:F24" si="84">E18</f>
        <v>1353.6</v>
      </c>
      <c r="G19" s="19">
        <f t="shared" ref="G19" si="85">E19-F19</f>
        <v>96.800000000000182</v>
      </c>
      <c r="H19" s="91">
        <v>1</v>
      </c>
      <c r="I19" s="19">
        <f t="shared" ref="I19" si="86">G19*H19</f>
        <v>96.800000000000182</v>
      </c>
      <c r="J19" s="12">
        <v>1890.7</v>
      </c>
      <c r="K19" s="17">
        <f t="shared" ref="K19:K24" si="87">J18</f>
        <v>1730.5</v>
      </c>
      <c r="L19" s="19">
        <f t="shared" ref="L19" si="88">J19-K19</f>
        <v>160.20000000000005</v>
      </c>
      <c r="M19" s="17">
        <f t="shared" ref="M19:M59" si="89">M18</f>
        <v>1</v>
      </c>
      <c r="N19" s="19">
        <f t="shared" ref="N19" si="90">L19*M19</f>
        <v>160.20000000000005</v>
      </c>
      <c r="O19" s="17">
        <f t="shared" ref="O19" si="91">N19-I19</f>
        <v>63.399999999999864</v>
      </c>
      <c r="P19" s="12">
        <v>5844</v>
      </c>
      <c r="Q19" s="17">
        <f t="shared" ref="Q19:Q24" si="92">P18</f>
        <v>5503.9</v>
      </c>
      <c r="R19" s="19">
        <f t="shared" ref="R19" si="93">P19-Q19</f>
        <v>340.10000000000036</v>
      </c>
      <c r="S19" s="17">
        <f t="shared" ref="S19:S59" si="94">S18</f>
        <v>1</v>
      </c>
      <c r="T19" s="19">
        <f t="shared" ref="T19" si="95">R19*S19</f>
        <v>340.10000000000036</v>
      </c>
      <c r="U19" s="19">
        <v>1.92</v>
      </c>
      <c r="V19" s="19">
        <v>0.97</v>
      </c>
      <c r="W19" s="25"/>
    </row>
    <row r="20" spans="1:23" ht="15.75" x14ac:dyDescent="0.25">
      <c r="A20" s="12">
        <v>13</v>
      </c>
      <c r="B20" s="22" t="s">
        <v>265</v>
      </c>
      <c r="C20" s="19" t="s">
        <v>201</v>
      </c>
      <c r="D20" s="19" t="s">
        <v>124</v>
      </c>
      <c r="E20" s="12">
        <v>1546.6</v>
      </c>
      <c r="F20" s="17">
        <f t="shared" si="84"/>
        <v>1450.4</v>
      </c>
      <c r="G20" s="19">
        <f t="shared" ref="G20" si="96">E20-F20</f>
        <v>96.199999999999818</v>
      </c>
      <c r="H20" s="91">
        <v>1</v>
      </c>
      <c r="I20" s="19">
        <f t="shared" ref="I20" si="97">G20*H20</f>
        <v>96.199999999999818</v>
      </c>
      <c r="J20" s="12">
        <v>1997.9</v>
      </c>
      <c r="K20" s="17">
        <f t="shared" si="87"/>
        <v>1890.7</v>
      </c>
      <c r="L20" s="19">
        <f t="shared" ref="L20" si="98">J20-K20</f>
        <v>107.20000000000005</v>
      </c>
      <c r="M20" s="17">
        <f t="shared" si="89"/>
        <v>1</v>
      </c>
      <c r="N20" s="19">
        <f t="shared" ref="N20" si="99">L20*M20</f>
        <v>107.20000000000005</v>
      </c>
      <c r="O20" s="17">
        <f t="shared" ref="O20" si="100">N20-I20</f>
        <v>11.000000000000227</v>
      </c>
      <c r="P20" s="12">
        <v>6057.2</v>
      </c>
      <c r="Q20" s="17">
        <f t="shared" si="92"/>
        <v>5844</v>
      </c>
      <c r="R20" s="19">
        <f t="shared" ref="R20" si="101">P20-Q20</f>
        <v>213.19999999999982</v>
      </c>
      <c r="S20" s="17">
        <f t="shared" si="94"/>
        <v>1</v>
      </c>
      <c r="T20" s="19">
        <f t="shared" ref="T20" si="102">R20*S20</f>
        <v>213.19999999999982</v>
      </c>
      <c r="U20" s="19">
        <v>1.03</v>
      </c>
      <c r="V20" s="90">
        <v>0.95</v>
      </c>
      <c r="W20" s="25"/>
    </row>
    <row r="21" spans="1:23" ht="15.75" x14ac:dyDescent="0.25">
      <c r="A21" s="12">
        <v>14</v>
      </c>
      <c r="B21" s="22" t="s">
        <v>266</v>
      </c>
      <c r="C21" s="19" t="s">
        <v>201</v>
      </c>
      <c r="D21" s="19" t="s">
        <v>124</v>
      </c>
      <c r="E21" s="12">
        <v>1639.7</v>
      </c>
      <c r="F21" s="17">
        <f t="shared" si="84"/>
        <v>1546.6</v>
      </c>
      <c r="G21" s="19">
        <f t="shared" ref="G21" si="103">E21-F21</f>
        <v>93.100000000000136</v>
      </c>
      <c r="H21" s="91">
        <f t="shared" ref="H21:H59" si="104">H20</f>
        <v>1</v>
      </c>
      <c r="I21" s="19">
        <f t="shared" ref="I21" si="105">G21*H21</f>
        <v>93.100000000000136</v>
      </c>
      <c r="J21" s="12">
        <v>2101.4</v>
      </c>
      <c r="K21" s="17">
        <f t="shared" si="87"/>
        <v>1997.9</v>
      </c>
      <c r="L21" s="19">
        <f t="shared" ref="L21" si="106">J21-K21</f>
        <v>103.5</v>
      </c>
      <c r="M21" s="17">
        <f t="shared" si="89"/>
        <v>1</v>
      </c>
      <c r="N21" s="19">
        <f t="shared" ref="N21" si="107">L21*M21</f>
        <v>103.5</v>
      </c>
      <c r="O21" s="17">
        <f t="shared" ref="O21" si="108">N21-I21</f>
        <v>10.399999999999864</v>
      </c>
      <c r="P21" s="12">
        <v>6290.8</v>
      </c>
      <c r="Q21" s="17">
        <f t="shared" si="92"/>
        <v>6057.2</v>
      </c>
      <c r="R21" s="19">
        <f t="shared" ref="R21" si="109">P21-Q21</f>
        <v>233.60000000000036</v>
      </c>
      <c r="S21" s="17">
        <f t="shared" si="94"/>
        <v>1</v>
      </c>
      <c r="T21" s="19">
        <f t="shared" ref="T21" si="110">R21*S21</f>
        <v>233.60000000000036</v>
      </c>
      <c r="U21" s="19">
        <v>0.69</v>
      </c>
      <c r="V21" s="19"/>
      <c r="W21" s="25"/>
    </row>
    <row r="22" spans="1:23" ht="15.75" x14ac:dyDescent="0.25">
      <c r="A22" s="12">
        <v>15</v>
      </c>
      <c r="B22" s="22" t="s">
        <v>267</v>
      </c>
      <c r="C22" s="19" t="s">
        <v>201</v>
      </c>
      <c r="D22" s="19" t="s">
        <v>124</v>
      </c>
      <c r="E22" s="12">
        <v>1741.5</v>
      </c>
      <c r="F22" s="17">
        <f t="shared" si="84"/>
        <v>1639.7</v>
      </c>
      <c r="G22" s="19">
        <f t="shared" ref="G22" si="111">E22-F22</f>
        <v>101.79999999999995</v>
      </c>
      <c r="H22" s="91">
        <f t="shared" si="104"/>
        <v>1</v>
      </c>
      <c r="I22" s="19">
        <f t="shared" ref="I22" si="112">G22*H22</f>
        <v>101.79999999999995</v>
      </c>
      <c r="J22" s="12">
        <v>2200</v>
      </c>
      <c r="K22" s="17">
        <f t="shared" si="87"/>
        <v>2101.4</v>
      </c>
      <c r="L22" s="19">
        <f t="shared" ref="L22" si="113">J22-K22</f>
        <v>98.599999999999909</v>
      </c>
      <c r="M22" s="17">
        <f t="shared" si="89"/>
        <v>1</v>
      </c>
      <c r="N22" s="19">
        <f t="shared" ref="N22" si="114">L22*M22</f>
        <v>98.599999999999909</v>
      </c>
      <c r="O22" s="17">
        <f t="shared" ref="O22" si="115">N22-I22</f>
        <v>-3.2000000000000455</v>
      </c>
      <c r="P22" s="12">
        <v>6489.8</v>
      </c>
      <c r="Q22" s="17">
        <f t="shared" si="92"/>
        <v>6290.8</v>
      </c>
      <c r="R22" s="19">
        <f t="shared" ref="R22" si="116">P22-Q22</f>
        <v>199</v>
      </c>
      <c r="S22" s="17">
        <f t="shared" si="94"/>
        <v>1</v>
      </c>
      <c r="T22" s="19">
        <f t="shared" ref="T22" si="117">R22*S22</f>
        <v>199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201</v>
      </c>
      <c r="D23" s="19" t="s">
        <v>124</v>
      </c>
      <c r="E23" s="12">
        <v>1853.6</v>
      </c>
      <c r="F23" s="17">
        <f t="shared" si="84"/>
        <v>1741.5</v>
      </c>
      <c r="G23" s="19">
        <f t="shared" ref="G23" si="118">E23-F23</f>
        <v>112.09999999999991</v>
      </c>
      <c r="H23" s="91">
        <f t="shared" si="104"/>
        <v>1</v>
      </c>
      <c r="I23" s="19">
        <f t="shared" ref="I23" si="119">G23*H23</f>
        <v>112.09999999999991</v>
      </c>
      <c r="J23" s="12">
        <v>2274.9</v>
      </c>
      <c r="K23" s="17">
        <f t="shared" si="87"/>
        <v>2200</v>
      </c>
      <c r="L23" s="19">
        <f t="shared" ref="L23" si="120">J23-K23</f>
        <v>74.900000000000091</v>
      </c>
      <c r="M23" s="17">
        <f t="shared" si="89"/>
        <v>1</v>
      </c>
      <c r="N23" s="19">
        <f t="shared" ref="N23" si="121">L23*M23</f>
        <v>74.900000000000091</v>
      </c>
      <c r="O23" s="17">
        <f t="shared" ref="O23" si="122">N23-I23</f>
        <v>-37.199999999999818</v>
      </c>
      <c r="P23" s="12">
        <v>6670.9</v>
      </c>
      <c r="Q23" s="17">
        <f t="shared" si="92"/>
        <v>6489.8</v>
      </c>
      <c r="R23" s="19">
        <f t="shared" ref="R23" si="123">P23-Q23</f>
        <v>181.09999999999945</v>
      </c>
      <c r="S23" s="17">
        <f t="shared" si="94"/>
        <v>1</v>
      </c>
      <c r="T23" s="19">
        <f t="shared" ref="T23" si="124">R23*S23</f>
        <v>181.09999999999945</v>
      </c>
      <c r="U23" s="19">
        <v>1.23</v>
      </c>
      <c r="V23" s="19">
        <v>0.41</v>
      </c>
      <c r="W23" s="25"/>
    </row>
    <row r="24" spans="1:23" ht="15.75" x14ac:dyDescent="0.25">
      <c r="A24" s="12">
        <v>17</v>
      </c>
      <c r="B24" s="22" t="s">
        <v>272</v>
      </c>
      <c r="C24" s="19" t="s">
        <v>201</v>
      </c>
      <c r="D24" s="19" t="s">
        <v>124</v>
      </c>
      <c r="E24" s="12">
        <v>1970</v>
      </c>
      <c r="F24" s="17">
        <f t="shared" si="84"/>
        <v>1853.6</v>
      </c>
      <c r="G24" s="19">
        <f t="shared" ref="G24" si="125">E24-F24</f>
        <v>116.40000000000009</v>
      </c>
      <c r="H24" s="91">
        <f t="shared" si="104"/>
        <v>1</v>
      </c>
      <c r="I24" s="19">
        <f t="shared" ref="I24" si="126">G24*H24</f>
        <v>116.40000000000009</v>
      </c>
      <c r="J24" s="12">
        <v>2368.4</v>
      </c>
      <c r="K24" s="17">
        <f t="shared" si="87"/>
        <v>2274.9</v>
      </c>
      <c r="L24" s="19">
        <f t="shared" ref="L24" si="127">J24-K24</f>
        <v>93.5</v>
      </c>
      <c r="M24" s="17">
        <f t="shared" si="89"/>
        <v>1</v>
      </c>
      <c r="N24" s="19">
        <f t="shared" ref="N24" si="128">L24*M24</f>
        <v>93.5</v>
      </c>
      <c r="O24" s="17">
        <f t="shared" ref="O24" si="129">N24-I24</f>
        <v>-22.900000000000091</v>
      </c>
      <c r="P24" s="12">
        <v>6885</v>
      </c>
      <c r="Q24" s="17">
        <f t="shared" si="92"/>
        <v>6670.9</v>
      </c>
      <c r="R24" s="19">
        <f t="shared" ref="R24" si="130">P24-Q24</f>
        <v>214.10000000000036</v>
      </c>
      <c r="S24" s="17">
        <f t="shared" si="94"/>
        <v>1</v>
      </c>
      <c r="T24" s="19">
        <f t="shared" ref="T24" si="131">R24*S24</f>
        <v>214.10000000000036</v>
      </c>
      <c r="U24" s="19">
        <v>1.32</v>
      </c>
      <c r="V24" s="19">
        <v>0.33</v>
      </c>
      <c r="W24" s="25"/>
    </row>
    <row r="25" spans="1:23" ht="15.75" x14ac:dyDescent="0.25">
      <c r="A25" s="12">
        <v>18</v>
      </c>
      <c r="B25" s="22" t="s">
        <v>274</v>
      </c>
      <c r="C25" s="19" t="s">
        <v>201</v>
      </c>
      <c r="D25" s="19" t="s">
        <v>124</v>
      </c>
      <c r="E25" s="12">
        <v>2088.4</v>
      </c>
      <c r="F25" s="17">
        <f t="shared" ref="F25" si="132">E24</f>
        <v>1970</v>
      </c>
      <c r="G25" s="19">
        <f t="shared" ref="G25" si="133">E25-F25</f>
        <v>118.40000000000009</v>
      </c>
      <c r="H25" s="91">
        <f t="shared" si="104"/>
        <v>1</v>
      </c>
      <c r="I25" s="19">
        <f t="shared" ref="I25" si="134">G25*H25</f>
        <v>118.40000000000009</v>
      </c>
      <c r="J25" s="12">
        <v>2422.3000000000002</v>
      </c>
      <c r="K25" s="17">
        <f t="shared" ref="K25" si="135">J24</f>
        <v>2368.4</v>
      </c>
      <c r="L25" s="19">
        <f t="shared" ref="L25" si="136">J25-K25</f>
        <v>53.900000000000091</v>
      </c>
      <c r="M25" s="17">
        <f t="shared" si="89"/>
        <v>1</v>
      </c>
      <c r="N25" s="19">
        <f t="shared" ref="N25" si="137">L25*M25</f>
        <v>53.900000000000091</v>
      </c>
      <c r="O25" s="17">
        <f t="shared" ref="O25" si="138">N25-I25</f>
        <v>-64.5</v>
      </c>
      <c r="P25" s="12">
        <v>7036.3</v>
      </c>
      <c r="Q25" s="17">
        <f t="shared" ref="Q25" si="139">P24</f>
        <v>6885</v>
      </c>
      <c r="R25" s="19">
        <f t="shared" ref="R25" si="140">P25-Q25</f>
        <v>151.30000000000018</v>
      </c>
      <c r="S25" s="17">
        <f t="shared" si="94"/>
        <v>1</v>
      </c>
      <c r="T25" s="19">
        <f t="shared" ref="T25" si="141">R25*S25</f>
        <v>151.30000000000018</v>
      </c>
      <c r="U25" s="19">
        <v>1.72</v>
      </c>
      <c r="V25" s="19">
        <v>0.67</v>
      </c>
      <c r="W25" s="25"/>
    </row>
    <row r="26" spans="1:23" ht="15.75" x14ac:dyDescent="0.25">
      <c r="A26" s="12">
        <v>19</v>
      </c>
      <c r="B26" s="22" t="s">
        <v>276</v>
      </c>
      <c r="C26" s="19" t="s">
        <v>201</v>
      </c>
      <c r="D26" s="19" t="s">
        <v>124</v>
      </c>
      <c r="E26" s="12">
        <v>2220.6</v>
      </c>
      <c r="F26" s="17">
        <f t="shared" ref="F26" si="142">E25</f>
        <v>2088.4</v>
      </c>
      <c r="G26" s="19">
        <f t="shared" ref="G26" si="143">E26-F26</f>
        <v>132.19999999999982</v>
      </c>
      <c r="H26" s="91">
        <f t="shared" si="104"/>
        <v>1</v>
      </c>
      <c r="I26" s="19">
        <f t="shared" ref="I26" si="144">G26*H26</f>
        <v>132.19999999999982</v>
      </c>
      <c r="J26" s="12">
        <v>2462.1</v>
      </c>
      <c r="K26" s="17">
        <f t="shared" ref="K26" si="145">J25</f>
        <v>2422.3000000000002</v>
      </c>
      <c r="L26" s="19">
        <f t="shared" ref="L26" si="146">J26-K26</f>
        <v>39.799999999999727</v>
      </c>
      <c r="M26" s="17">
        <f t="shared" si="89"/>
        <v>1</v>
      </c>
      <c r="N26" s="19">
        <f t="shared" ref="N26" si="147">L26*M26</f>
        <v>39.799999999999727</v>
      </c>
      <c r="O26" s="17">
        <f t="shared" ref="O26" si="148">N26-I26</f>
        <v>-92.400000000000091</v>
      </c>
      <c r="P26" s="12">
        <v>7166.4</v>
      </c>
      <c r="Q26" s="17">
        <f t="shared" ref="Q26" si="149">P25</f>
        <v>7036.3</v>
      </c>
      <c r="R26" s="19">
        <f t="shared" ref="R26" si="150">P26-Q26</f>
        <v>130.09999999999945</v>
      </c>
      <c r="S26" s="17">
        <f t="shared" si="94"/>
        <v>1</v>
      </c>
      <c r="T26" s="19">
        <f t="shared" ref="T26" si="151">R26*S26</f>
        <v>130.09999999999945</v>
      </c>
      <c r="U26" s="19">
        <v>2.31</v>
      </c>
      <c r="V26" s="19">
        <v>0.92</v>
      </c>
      <c r="W26" s="25"/>
    </row>
    <row r="27" spans="1:23" ht="15.75" x14ac:dyDescent="0.25">
      <c r="A27" s="12">
        <v>20</v>
      </c>
      <c r="B27" s="22" t="s">
        <v>262</v>
      </c>
      <c r="C27" s="19" t="s">
        <v>201</v>
      </c>
      <c r="D27" s="19" t="s">
        <v>124</v>
      </c>
      <c r="E27" s="12">
        <v>2347.3000000000002</v>
      </c>
      <c r="F27" s="17">
        <f t="shared" ref="F27" si="152">E26</f>
        <v>2220.6</v>
      </c>
      <c r="G27" s="19">
        <f t="shared" ref="G27" si="153">E27-F27</f>
        <v>126.70000000000027</v>
      </c>
      <c r="H27" s="91">
        <f t="shared" si="104"/>
        <v>1</v>
      </c>
      <c r="I27" s="19">
        <f t="shared" ref="I27" si="154">G27*H27</f>
        <v>126.70000000000027</v>
      </c>
      <c r="J27" s="12">
        <v>2497.1</v>
      </c>
      <c r="K27" s="17">
        <f t="shared" ref="K27" si="155">J26</f>
        <v>2462.1</v>
      </c>
      <c r="L27" s="19">
        <f t="shared" ref="L27" si="156">J27-K27</f>
        <v>35</v>
      </c>
      <c r="M27" s="17">
        <f t="shared" si="89"/>
        <v>1</v>
      </c>
      <c r="N27" s="19">
        <f t="shared" ref="N27" si="157">L27*M27</f>
        <v>35</v>
      </c>
      <c r="O27" s="17">
        <f t="shared" ref="O27" si="158">N27-I27</f>
        <v>-91.700000000000273</v>
      </c>
      <c r="P27" s="12">
        <v>7297</v>
      </c>
      <c r="Q27" s="17">
        <f t="shared" ref="Q27" si="159">P26</f>
        <v>7166.4</v>
      </c>
      <c r="R27" s="19">
        <f t="shared" ref="R27" si="160">P27-Q27</f>
        <v>130.60000000000036</v>
      </c>
      <c r="S27" s="17">
        <f t="shared" si="94"/>
        <v>1</v>
      </c>
      <c r="T27" s="19">
        <f t="shared" ref="T27" si="161">R27*S27</f>
        <v>130.60000000000036</v>
      </c>
      <c r="U27" s="19">
        <v>1.44</v>
      </c>
      <c r="V27" s="19"/>
      <c r="W27" s="25"/>
    </row>
    <row r="28" spans="1:23" ht="15.75" x14ac:dyDescent="0.25">
      <c r="A28" s="12">
        <v>21</v>
      </c>
      <c r="B28" s="22" t="s">
        <v>277</v>
      </c>
      <c r="C28" s="19" t="s">
        <v>201</v>
      </c>
      <c r="D28" s="19" t="s">
        <v>124</v>
      </c>
      <c r="E28" s="12">
        <v>2463.4</v>
      </c>
      <c r="F28" s="17">
        <f t="shared" ref="F28" si="162">E27</f>
        <v>2347.3000000000002</v>
      </c>
      <c r="G28" s="19">
        <f t="shared" ref="G28" si="163">E28-F28</f>
        <v>116.09999999999991</v>
      </c>
      <c r="H28" s="91">
        <f t="shared" si="104"/>
        <v>1</v>
      </c>
      <c r="I28" s="19">
        <f t="shared" ref="I28" si="164">G28*H28</f>
        <v>116.09999999999991</v>
      </c>
      <c r="J28" s="12">
        <v>2542.9</v>
      </c>
      <c r="K28" s="17">
        <f t="shared" ref="K28" si="165">J27</f>
        <v>2497.1</v>
      </c>
      <c r="L28" s="19">
        <f t="shared" ref="L28" si="166">J28-K28</f>
        <v>45.800000000000182</v>
      </c>
      <c r="M28" s="17">
        <f t="shared" si="89"/>
        <v>1</v>
      </c>
      <c r="N28" s="19">
        <f t="shared" ref="N28" si="167">L28*M28</f>
        <v>45.800000000000182</v>
      </c>
      <c r="O28" s="17">
        <f t="shared" ref="O28" si="168">N28-I28</f>
        <v>-70.299999999999727</v>
      </c>
      <c r="P28" s="12">
        <v>7458.3</v>
      </c>
      <c r="Q28" s="17">
        <f t="shared" ref="Q28" si="169">P27</f>
        <v>7297</v>
      </c>
      <c r="R28" s="19">
        <f t="shared" ref="R28" si="170">P28-Q28</f>
        <v>161.30000000000018</v>
      </c>
      <c r="S28" s="17">
        <f t="shared" si="94"/>
        <v>1</v>
      </c>
      <c r="T28" s="19">
        <f t="shared" ref="T28" si="171">R28*S28</f>
        <v>161.30000000000018</v>
      </c>
      <c r="U28" s="19">
        <v>1.27</v>
      </c>
      <c r="V28" s="19">
        <v>0.9</v>
      </c>
      <c r="W28" s="25"/>
    </row>
    <row r="29" spans="1:23" ht="15.75" x14ac:dyDescent="0.25">
      <c r="A29" s="12">
        <v>22</v>
      </c>
      <c r="B29" s="22" t="s">
        <v>278</v>
      </c>
      <c r="C29" s="19" t="s">
        <v>201</v>
      </c>
      <c r="D29" s="19" t="s">
        <v>124</v>
      </c>
      <c r="E29" s="12">
        <v>2643.4</v>
      </c>
      <c r="F29" s="17">
        <f t="shared" ref="F29" si="172">E28</f>
        <v>2463.4</v>
      </c>
      <c r="G29" s="19">
        <f t="shared" ref="G29" si="173">E29-F29</f>
        <v>180</v>
      </c>
      <c r="H29" s="91">
        <f t="shared" si="104"/>
        <v>1</v>
      </c>
      <c r="I29" s="19">
        <f t="shared" ref="I29" si="174">G29*H29</f>
        <v>180</v>
      </c>
      <c r="J29" s="12">
        <v>2615.8000000000002</v>
      </c>
      <c r="K29" s="17">
        <f t="shared" ref="K29" si="175">J28</f>
        <v>2542.9</v>
      </c>
      <c r="L29" s="19">
        <f t="shared" ref="L29" si="176">J29-K29</f>
        <v>72.900000000000091</v>
      </c>
      <c r="M29" s="17">
        <f t="shared" si="89"/>
        <v>1</v>
      </c>
      <c r="N29" s="19">
        <f t="shared" ref="N29" si="177">L29*M29</f>
        <v>72.900000000000091</v>
      </c>
      <c r="O29" s="17">
        <f t="shared" ref="O29" si="178">N29-I29</f>
        <v>-107.09999999999991</v>
      </c>
      <c r="P29" s="12">
        <v>7685.8</v>
      </c>
      <c r="Q29" s="17">
        <f t="shared" ref="Q29" si="179">P28</f>
        <v>7458.3</v>
      </c>
      <c r="R29" s="19">
        <f t="shared" ref="R29" si="180">P29-Q29</f>
        <v>227.5</v>
      </c>
      <c r="S29" s="17">
        <f t="shared" si="94"/>
        <v>1</v>
      </c>
      <c r="T29" s="19">
        <f t="shared" ref="T29" si="181">R29*S29</f>
        <v>227.5</v>
      </c>
      <c r="U29" s="19">
        <v>1.9</v>
      </c>
      <c r="V29" s="19">
        <v>0.9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201</v>
      </c>
      <c r="D31" s="19" t="s">
        <v>124</v>
      </c>
      <c r="E31" s="12">
        <v>2821.4</v>
      </c>
      <c r="F31" s="17">
        <f t="shared" ref="F31" si="182">E29</f>
        <v>2643.4</v>
      </c>
      <c r="G31" s="19">
        <f t="shared" ref="G31" si="183">E31-F31</f>
        <v>178</v>
      </c>
      <c r="H31" s="91">
        <f>H29</f>
        <v>1</v>
      </c>
      <c r="I31" s="19">
        <f t="shared" ref="I31" si="184">G31*H31</f>
        <v>178</v>
      </c>
      <c r="J31" s="12">
        <v>2688.8</v>
      </c>
      <c r="K31" s="17">
        <f t="shared" ref="K31" si="185">J29</f>
        <v>2615.8000000000002</v>
      </c>
      <c r="L31" s="19">
        <f t="shared" ref="L31" si="186">J31-K31</f>
        <v>73</v>
      </c>
      <c r="M31" s="17">
        <f>M29</f>
        <v>1</v>
      </c>
      <c r="N31" s="19">
        <f t="shared" ref="N31" si="187">L31*M31</f>
        <v>73</v>
      </c>
      <c r="O31" s="17">
        <f t="shared" ref="O31" si="188">N31-I31</f>
        <v>-105</v>
      </c>
      <c r="P31" s="12">
        <v>7913.8</v>
      </c>
      <c r="Q31" s="17">
        <f t="shared" ref="Q31" si="189">P29</f>
        <v>7685.8</v>
      </c>
      <c r="R31" s="19">
        <f t="shared" ref="R31" si="190">P31-Q31</f>
        <v>228</v>
      </c>
      <c r="S31" s="17">
        <f>S29</f>
        <v>1</v>
      </c>
      <c r="T31" s="19">
        <f t="shared" ref="T31" si="191">R31*S31</f>
        <v>228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201</v>
      </c>
      <c r="D32" s="19" t="s">
        <v>124</v>
      </c>
      <c r="E32" s="12">
        <v>2851.2</v>
      </c>
      <c r="F32" s="17">
        <f t="shared" ref="F32" si="192">E31</f>
        <v>2821.4</v>
      </c>
      <c r="G32" s="19">
        <f t="shared" ref="G32" si="193">E32-F32</f>
        <v>29.799999999999727</v>
      </c>
      <c r="H32" s="91">
        <f t="shared" si="104"/>
        <v>1</v>
      </c>
      <c r="I32" s="19">
        <f t="shared" ref="I32" si="194">G32*H32</f>
        <v>29.799999999999727</v>
      </c>
      <c r="J32" s="12">
        <v>2870.6</v>
      </c>
      <c r="K32" s="17">
        <f t="shared" ref="K32" si="195">J31</f>
        <v>2688.8</v>
      </c>
      <c r="L32" s="19">
        <f t="shared" ref="L32" si="196">J32-K32</f>
        <v>181.79999999999973</v>
      </c>
      <c r="M32" s="17">
        <f t="shared" si="89"/>
        <v>1</v>
      </c>
      <c r="N32" s="19">
        <f t="shared" ref="N32" si="197">L32*M32</f>
        <v>181.79999999999973</v>
      </c>
      <c r="O32" s="17">
        <f t="shared" ref="O32" si="198">N32-I32</f>
        <v>152</v>
      </c>
      <c r="P32" s="12">
        <v>8168</v>
      </c>
      <c r="Q32" s="17">
        <f t="shared" ref="Q32" si="199">P31</f>
        <v>7913.8</v>
      </c>
      <c r="R32" s="19">
        <f t="shared" ref="R32" si="200">P32-Q32</f>
        <v>254.19999999999982</v>
      </c>
      <c r="S32" s="17">
        <f t="shared" si="94"/>
        <v>1</v>
      </c>
      <c r="T32" s="19">
        <f t="shared" ref="T32" si="201">R32*S32</f>
        <v>254.19999999999982</v>
      </c>
      <c r="U32" s="19">
        <v>1.73</v>
      </c>
      <c r="V32" s="19">
        <v>0.9</v>
      </c>
      <c r="W32" s="25"/>
    </row>
    <row r="33" spans="1:23" ht="15.75" x14ac:dyDescent="0.25">
      <c r="A33" s="12">
        <v>25</v>
      </c>
      <c r="B33" s="22" t="s">
        <v>281</v>
      </c>
      <c r="C33" s="19" t="s">
        <v>201</v>
      </c>
      <c r="D33" s="19" t="s">
        <v>124</v>
      </c>
      <c r="E33" s="12">
        <v>2966.6</v>
      </c>
      <c r="F33" s="17">
        <f t="shared" ref="F33" si="202">E32</f>
        <v>2851.2</v>
      </c>
      <c r="G33" s="19">
        <f t="shared" ref="G33" si="203">E33-F33</f>
        <v>115.40000000000009</v>
      </c>
      <c r="H33" s="91">
        <f t="shared" si="104"/>
        <v>1</v>
      </c>
      <c r="I33" s="19">
        <f t="shared" ref="I33" si="204">G33*H33</f>
        <v>115.40000000000009</v>
      </c>
      <c r="J33" s="12">
        <v>2978.6</v>
      </c>
      <c r="K33" s="17">
        <f t="shared" ref="K33" si="205">J32</f>
        <v>2870.6</v>
      </c>
      <c r="L33" s="19">
        <f t="shared" ref="L33" si="206">J33-K33</f>
        <v>108</v>
      </c>
      <c r="M33" s="17">
        <f t="shared" si="89"/>
        <v>1</v>
      </c>
      <c r="N33" s="19">
        <f t="shared" ref="N33" si="207">L33*M33</f>
        <v>108</v>
      </c>
      <c r="O33" s="17">
        <f t="shared" ref="O33" si="208">N33-I33</f>
        <v>-7.4000000000000909</v>
      </c>
      <c r="P33" s="12">
        <v>8387.1</v>
      </c>
      <c r="Q33" s="17">
        <f t="shared" ref="Q33" si="209">P32</f>
        <v>8168</v>
      </c>
      <c r="R33" s="19">
        <f t="shared" ref="R33" si="210">P33-Q33</f>
        <v>219.10000000000036</v>
      </c>
      <c r="S33" s="17">
        <f t="shared" si="94"/>
        <v>1</v>
      </c>
      <c r="T33" s="19">
        <f t="shared" ref="T33" si="211">R33*S33</f>
        <v>219.10000000000036</v>
      </c>
      <c r="U33" s="19">
        <v>1.67</v>
      </c>
      <c r="V33" s="19">
        <v>0.94</v>
      </c>
      <c r="W33" s="25"/>
    </row>
    <row r="34" spans="1:23" ht="15.75" x14ac:dyDescent="0.25">
      <c r="A34" s="12">
        <v>26</v>
      </c>
      <c r="B34" s="22" t="s">
        <v>282</v>
      </c>
      <c r="C34" s="19" t="s">
        <v>201</v>
      </c>
      <c r="D34" s="19" t="s">
        <v>124</v>
      </c>
      <c r="E34" s="12">
        <v>3110.1</v>
      </c>
      <c r="F34" s="17">
        <f t="shared" ref="F34" si="212">E33</f>
        <v>2966.6</v>
      </c>
      <c r="G34" s="19">
        <f t="shared" ref="G34" si="213">E34-F34</f>
        <v>143.5</v>
      </c>
      <c r="H34" s="91">
        <f t="shared" si="104"/>
        <v>1</v>
      </c>
      <c r="I34" s="19">
        <f t="shared" ref="I34" si="214">G34*H34</f>
        <v>143.5</v>
      </c>
      <c r="J34" s="12">
        <v>3059.4</v>
      </c>
      <c r="K34" s="17">
        <f t="shared" ref="K34" si="215">J33</f>
        <v>2978.6</v>
      </c>
      <c r="L34" s="19">
        <f t="shared" ref="L34" si="216">J34-K34</f>
        <v>80.800000000000182</v>
      </c>
      <c r="M34" s="17">
        <f t="shared" si="89"/>
        <v>1</v>
      </c>
      <c r="N34" s="19">
        <f t="shared" ref="N34" si="217">L34*M34</f>
        <v>80.800000000000182</v>
      </c>
      <c r="O34" s="17">
        <f t="shared" ref="O34" si="218">N34-I34</f>
        <v>-62.699999999999818</v>
      </c>
      <c r="P34" s="12">
        <f>P33+195</f>
        <v>8582.1</v>
      </c>
      <c r="Q34" s="17">
        <f t="shared" ref="Q34" si="219">P33</f>
        <v>8387.1</v>
      </c>
      <c r="R34" s="19">
        <f t="shared" ref="R34" si="220">P34-Q34</f>
        <v>195</v>
      </c>
      <c r="S34" s="17">
        <f t="shared" si="94"/>
        <v>1</v>
      </c>
      <c r="T34" s="19">
        <f t="shared" ref="T34" si="221">R34*S34</f>
        <v>195</v>
      </c>
      <c r="U34" s="19"/>
      <c r="V34" s="19"/>
      <c r="W34" s="25"/>
    </row>
    <row r="35" spans="1:23" ht="15.75" x14ac:dyDescent="0.25">
      <c r="A35" s="12">
        <v>27</v>
      </c>
      <c r="B35" s="22" t="s">
        <v>283</v>
      </c>
      <c r="C35" s="19" t="s">
        <v>201</v>
      </c>
      <c r="D35" s="19" t="s">
        <v>124</v>
      </c>
      <c r="E35" s="12">
        <v>3268.8</v>
      </c>
      <c r="F35" s="17">
        <f t="shared" ref="F35" si="222">E34</f>
        <v>3110.1</v>
      </c>
      <c r="G35" s="19">
        <f t="shared" ref="G35" si="223">E35-F35</f>
        <v>158.70000000000027</v>
      </c>
      <c r="H35" s="91">
        <f t="shared" si="104"/>
        <v>1</v>
      </c>
      <c r="I35" s="19">
        <f t="shared" ref="I35" si="224">G35*H35</f>
        <v>158.70000000000027</v>
      </c>
      <c r="J35" s="12">
        <v>3154.3</v>
      </c>
      <c r="K35" s="17">
        <f t="shared" ref="K35" si="225">J34</f>
        <v>3059.4</v>
      </c>
      <c r="L35" s="19">
        <f t="shared" ref="L35" si="226">J35-K35</f>
        <v>94.900000000000091</v>
      </c>
      <c r="M35" s="17">
        <f t="shared" si="89"/>
        <v>1</v>
      </c>
      <c r="N35" s="19">
        <f t="shared" ref="N35" si="227">L35*M35</f>
        <v>94.900000000000091</v>
      </c>
      <c r="O35" s="17">
        <f t="shared" ref="O35" si="228">N35-I35</f>
        <v>-63.800000000000182</v>
      </c>
      <c r="P35" s="12">
        <v>8812.5</v>
      </c>
      <c r="Q35" s="17">
        <f t="shared" ref="Q35" si="229">P34</f>
        <v>8582.1</v>
      </c>
      <c r="R35" s="19">
        <f t="shared" ref="R35" si="230">P35-Q35</f>
        <v>230.39999999999964</v>
      </c>
      <c r="S35" s="17">
        <f t="shared" si="94"/>
        <v>1</v>
      </c>
      <c r="T35" s="19">
        <f t="shared" ref="T35" si="231">R35*S35</f>
        <v>230.39999999999964</v>
      </c>
      <c r="U35" s="19">
        <v>1.56</v>
      </c>
      <c r="V35" s="19">
        <v>0.98</v>
      </c>
      <c r="W35" s="25"/>
    </row>
    <row r="36" spans="1:23" ht="15.75" x14ac:dyDescent="0.25">
      <c r="A36" s="12">
        <v>28</v>
      </c>
      <c r="B36" s="22" t="s">
        <v>284</v>
      </c>
      <c r="C36" s="19" t="s">
        <v>201</v>
      </c>
      <c r="D36" s="19" t="s">
        <v>124</v>
      </c>
      <c r="E36" s="12">
        <v>3400.5</v>
      </c>
      <c r="F36" s="17">
        <f t="shared" ref="F36" si="232">E35</f>
        <v>3268.8</v>
      </c>
      <c r="G36" s="19">
        <f t="shared" ref="G36" si="233">E36-F36</f>
        <v>131.69999999999982</v>
      </c>
      <c r="H36" s="91">
        <f t="shared" si="104"/>
        <v>1</v>
      </c>
      <c r="I36" s="19">
        <f t="shared" ref="I36" si="234">G36*H36</f>
        <v>131.69999999999982</v>
      </c>
      <c r="J36" s="12">
        <v>3274.1</v>
      </c>
      <c r="K36" s="17">
        <f t="shared" ref="K36" si="235">J35</f>
        <v>3154.3</v>
      </c>
      <c r="L36" s="19">
        <f t="shared" ref="L36" si="236">J36-K36</f>
        <v>119.79999999999973</v>
      </c>
      <c r="M36" s="17">
        <f t="shared" si="89"/>
        <v>1</v>
      </c>
      <c r="N36" s="19">
        <f t="shared" ref="N36" si="237">L36*M36</f>
        <v>119.79999999999973</v>
      </c>
      <c r="O36" s="17">
        <f t="shared" ref="O36" si="238">N36-I36</f>
        <v>-11.900000000000091</v>
      </c>
      <c r="P36" s="12">
        <v>9052.1</v>
      </c>
      <c r="Q36" s="17">
        <f t="shared" ref="Q36" si="239">P35</f>
        <v>8812.5</v>
      </c>
      <c r="R36" s="19">
        <f t="shared" ref="R36" si="240">P36-Q36</f>
        <v>239.60000000000036</v>
      </c>
      <c r="S36" s="17">
        <f t="shared" si="94"/>
        <v>1</v>
      </c>
      <c r="T36" s="19">
        <f t="shared" ref="T36" si="241">R36*S36</f>
        <v>239.60000000000036</v>
      </c>
      <c r="U36" s="19">
        <v>1.43</v>
      </c>
      <c r="V36" s="19">
        <v>0.92</v>
      </c>
      <c r="W36" s="25"/>
    </row>
    <row r="37" spans="1:23" ht="15.75" x14ac:dyDescent="0.25">
      <c r="A37" s="12">
        <v>29</v>
      </c>
      <c r="B37" s="22" t="s">
        <v>286</v>
      </c>
      <c r="C37" s="19" t="s">
        <v>201</v>
      </c>
      <c r="D37" s="19" t="s">
        <v>124</v>
      </c>
      <c r="E37" s="12">
        <v>3530.6</v>
      </c>
      <c r="F37" s="17">
        <f t="shared" ref="F37" si="242">E36</f>
        <v>3400.5</v>
      </c>
      <c r="G37" s="19">
        <f t="shared" ref="G37" si="243">E37-F37</f>
        <v>130.09999999999991</v>
      </c>
      <c r="H37" s="91">
        <f t="shared" si="104"/>
        <v>1</v>
      </c>
      <c r="I37" s="19">
        <f t="shared" ref="I37" si="244">G37*H37</f>
        <v>130.09999999999991</v>
      </c>
      <c r="J37" s="12">
        <v>3403.4</v>
      </c>
      <c r="K37" s="17">
        <f t="shared" ref="K37" si="245">J36</f>
        <v>3274.1</v>
      </c>
      <c r="L37" s="19">
        <f t="shared" ref="L37" si="246">J37-K37</f>
        <v>129.30000000000018</v>
      </c>
      <c r="M37" s="17">
        <f t="shared" si="89"/>
        <v>1</v>
      </c>
      <c r="N37" s="19">
        <f t="shared" ref="N37" si="247">L37*M37</f>
        <v>129.30000000000018</v>
      </c>
      <c r="O37" s="17">
        <f t="shared" ref="O37" si="248">N37-I37</f>
        <v>-0.79999999999972715</v>
      </c>
      <c r="P37" s="12">
        <v>9326.1</v>
      </c>
      <c r="Q37" s="17">
        <f t="shared" ref="Q37" si="249">P36</f>
        <v>9052.1</v>
      </c>
      <c r="R37" s="19">
        <f t="shared" ref="R37" si="250">P37-Q37</f>
        <v>274</v>
      </c>
      <c r="S37" s="17">
        <f t="shared" si="94"/>
        <v>1</v>
      </c>
      <c r="T37" s="19">
        <f t="shared" ref="T37" si="251">R37*S37</f>
        <v>274</v>
      </c>
      <c r="U37" s="19">
        <v>1.06</v>
      </c>
      <c r="V37" s="19">
        <v>0.91</v>
      </c>
      <c r="W37" s="25"/>
    </row>
    <row r="38" spans="1:23" ht="15.75" x14ac:dyDescent="0.25">
      <c r="A38" s="12">
        <v>30</v>
      </c>
      <c r="B38" s="22" t="s">
        <v>288</v>
      </c>
      <c r="C38" s="19" t="s">
        <v>201</v>
      </c>
      <c r="D38" s="19" t="s">
        <v>124</v>
      </c>
      <c r="E38" s="12">
        <v>3683.2</v>
      </c>
      <c r="F38" s="17">
        <f t="shared" ref="F38" si="252">E37</f>
        <v>3530.6</v>
      </c>
      <c r="G38" s="19">
        <f t="shared" ref="G38" si="253">E38-F38</f>
        <v>152.59999999999991</v>
      </c>
      <c r="H38" s="91">
        <f t="shared" si="104"/>
        <v>1</v>
      </c>
      <c r="I38" s="19">
        <f t="shared" ref="I38" si="254">G38*H38</f>
        <v>152.59999999999991</v>
      </c>
      <c r="J38" s="12">
        <v>3482.3</v>
      </c>
      <c r="K38" s="17">
        <f t="shared" ref="K38" si="255">J37</f>
        <v>3403.4</v>
      </c>
      <c r="L38" s="19">
        <f t="shared" ref="L38" si="256">J38-K38</f>
        <v>78.900000000000091</v>
      </c>
      <c r="M38" s="17">
        <f t="shared" si="89"/>
        <v>1</v>
      </c>
      <c r="N38" s="19">
        <f t="shared" ref="N38" si="257">L38*M38</f>
        <v>78.900000000000091</v>
      </c>
      <c r="O38" s="17">
        <f t="shared" ref="O38" si="258">N38-I38</f>
        <v>-73.699999999999818</v>
      </c>
      <c r="P38" s="12">
        <v>9479.1</v>
      </c>
      <c r="Q38" s="17">
        <f t="shared" ref="Q38" si="259">P37</f>
        <v>9326.1</v>
      </c>
      <c r="R38" s="19">
        <f t="shared" ref="R38" si="260">P38-Q38</f>
        <v>153</v>
      </c>
      <c r="S38" s="17">
        <f t="shared" si="94"/>
        <v>1</v>
      </c>
      <c r="T38" s="19">
        <f t="shared" ref="T38" si="261">R38*S38</f>
        <v>153</v>
      </c>
      <c r="U38" s="19">
        <v>1.02</v>
      </c>
      <c r="V38" s="19">
        <v>0.98</v>
      </c>
      <c r="W38" s="25"/>
    </row>
    <row r="39" spans="1:23" ht="15.75" x14ac:dyDescent="0.25">
      <c r="A39" s="12">
        <v>31</v>
      </c>
      <c r="B39" s="22" t="s">
        <v>289</v>
      </c>
      <c r="C39" s="19" t="s">
        <v>201</v>
      </c>
      <c r="D39" s="19" t="s">
        <v>124</v>
      </c>
      <c r="E39" s="12">
        <v>3833.8</v>
      </c>
      <c r="F39" s="17">
        <f t="shared" ref="F39" si="262">E38</f>
        <v>3683.2</v>
      </c>
      <c r="G39" s="19">
        <f t="shared" ref="G39" si="263">E39-F39</f>
        <v>150.60000000000036</v>
      </c>
      <c r="H39" s="91">
        <f t="shared" si="104"/>
        <v>1</v>
      </c>
      <c r="I39" s="19">
        <f t="shared" ref="I39" si="264">G39*H39</f>
        <v>150.60000000000036</v>
      </c>
      <c r="J39" s="12">
        <v>3610.8</v>
      </c>
      <c r="K39" s="17">
        <f t="shared" ref="K39" si="265">J38</f>
        <v>3482.3</v>
      </c>
      <c r="L39" s="19">
        <f t="shared" ref="L39" si="266">J39-K39</f>
        <v>128.5</v>
      </c>
      <c r="M39" s="17">
        <f t="shared" si="89"/>
        <v>1</v>
      </c>
      <c r="N39" s="19">
        <f t="shared" ref="N39" si="267">L39*M39</f>
        <v>128.5</v>
      </c>
      <c r="O39" s="17">
        <f t="shared" ref="O39" si="268">N39-I39</f>
        <v>-22.100000000000364</v>
      </c>
      <c r="P39" s="12">
        <v>9714.1</v>
      </c>
      <c r="Q39" s="17">
        <f t="shared" ref="Q39" si="269">P38</f>
        <v>9479.1</v>
      </c>
      <c r="R39" s="19">
        <f t="shared" ref="R39" si="270">P39-Q39</f>
        <v>235</v>
      </c>
      <c r="S39" s="17">
        <f t="shared" si="94"/>
        <v>1</v>
      </c>
      <c r="T39" s="19">
        <f t="shared" ref="T39" si="271">R39*S39</f>
        <v>235</v>
      </c>
      <c r="U39" s="19">
        <v>1.1399999999999999</v>
      </c>
      <c r="V39" s="19">
        <v>0.98</v>
      </c>
      <c r="W39" s="25"/>
    </row>
    <row r="40" spans="1:23" ht="15.75" x14ac:dyDescent="0.25">
      <c r="A40" s="12">
        <v>32</v>
      </c>
      <c r="B40" s="22" t="s">
        <v>290</v>
      </c>
      <c r="C40" s="19" t="s">
        <v>201</v>
      </c>
      <c r="D40" s="19" t="s">
        <v>124</v>
      </c>
      <c r="E40" s="12">
        <v>3975.8</v>
      </c>
      <c r="F40" s="17">
        <f t="shared" ref="F40" si="272">E39</f>
        <v>3833.8</v>
      </c>
      <c r="G40" s="19">
        <f t="shared" ref="G40" si="273">E40-F40</f>
        <v>142</v>
      </c>
      <c r="H40" s="91">
        <f t="shared" si="104"/>
        <v>1</v>
      </c>
      <c r="I40" s="19">
        <f t="shared" ref="I40" si="274">G40*H40</f>
        <v>142</v>
      </c>
      <c r="J40" s="12">
        <v>3757.9</v>
      </c>
      <c r="K40" s="17">
        <f t="shared" ref="K40" si="275">J39</f>
        <v>3610.8</v>
      </c>
      <c r="L40" s="19">
        <f t="shared" ref="L40" si="276">J40-K40</f>
        <v>147.09999999999991</v>
      </c>
      <c r="M40" s="17">
        <f t="shared" si="89"/>
        <v>1</v>
      </c>
      <c r="N40" s="19">
        <f t="shared" ref="N40" si="277">L40*M40</f>
        <v>147.09999999999991</v>
      </c>
      <c r="O40" s="17">
        <f t="shared" ref="O40" si="278">N40-I40</f>
        <v>5.0999999999999091</v>
      </c>
      <c r="P40" s="12">
        <v>9978.2999999999993</v>
      </c>
      <c r="Q40" s="17">
        <f t="shared" ref="Q40" si="279">P39</f>
        <v>9714.1</v>
      </c>
      <c r="R40" s="19">
        <f t="shared" ref="R40" si="280">P40-Q40</f>
        <v>264.19999999999891</v>
      </c>
      <c r="S40" s="17">
        <f t="shared" si="94"/>
        <v>1</v>
      </c>
      <c r="T40" s="19">
        <f t="shared" ref="T40" si="281">R40*S40</f>
        <v>264.19999999999891</v>
      </c>
      <c r="U40" s="19">
        <v>1.67</v>
      </c>
      <c r="V40" s="19">
        <v>0.98</v>
      </c>
      <c r="W40" s="25"/>
    </row>
    <row r="41" spans="1:23" ht="15.75" x14ac:dyDescent="0.25">
      <c r="A41" s="12">
        <v>33</v>
      </c>
      <c r="B41" s="22" t="s">
        <v>291</v>
      </c>
      <c r="C41" s="19" t="s">
        <v>201</v>
      </c>
      <c r="D41" s="19" t="s">
        <v>124</v>
      </c>
      <c r="E41" s="12">
        <v>4104.3999999999996</v>
      </c>
      <c r="F41" s="17">
        <f t="shared" ref="F41:F48" si="282">E40</f>
        <v>3975.8</v>
      </c>
      <c r="G41" s="19">
        <f t="shared" ref="G41:G48" si="283">E41-F41</f>
        <v>128.59999999999945</v>
      </c>
      <c r="H41" s="91">
        <f t="shared" si="104"/>
        <v>1</v>
      </c>
      <c r="I41" s="19">
        <f t="shared" ref="I41:I48" si="284">G41*H41</f>
        <v>128.59999999999945</v>
      </c>
      <c r="J41" s="12">
        <v>3885.9</v>
      </c>
      <c r="K41" s="17">
        <f t="shared" ref="K41:K48" si="285">J40</f>
        <v>3757.9</v>
      </c>
      <c r="L41" s="19">
        <f t="shared" ref="L41:L48" si="286">J41-K41</f>
        <v>128</v>
      </c>
      <c r="M41" s="17">
        <f t="shared" si="89"/>
        <v>1</v>
      </c>
      <c r="N41" s="19">
        <f t="shared" ref="N41:N48" si="287">L41*M41</f>
        <v>128</v>
      </c>
      <c r="O41" s="17">
        <f t="shared" ref="O41:O48" si="288">N41-I41</f>
        <v>-0.5999999999994543</v>
      </c>
      <c r="P41" s="12">
        <v>10238.4</v>
      </c>
      <c r="Q41" s="17">
        <f t="shared" ref="Q41:Q48" si="289">P40</f>
        <v>9978.2999999999993</v>
      </c>
      <c r="R41" s="19">
        <f t="shared" ref="R41:R48" si="290">P41-Q41</f>
        <v>260.10000000000036</v>
      </c>
      <c r="S41" s="17">
        <f t="shared" si="94"/>
        <v>1</v>
      </c>
      <c r="T41" s="19">
        <f t="shared" ref="T41:T48" si="291">R41*S41</f>
        <v>260.10000000000036</v>
      </c>
      <c r="U41" s="19">
        <v>2.02</v>
      </c>
      <c r="V41" s="19">
        <v>0.93</v>
      </c>
      <c r="W41" s="25"/>
    </row>
    <row r="42" spans="1:23" ht="15.75" x14ac:dyDescent="0.25">
      <c r="A42" s="12">
        <v>34</v>
      </c>
      <c r="B42" s="22" t="s">
        <v>292</v>
      </c>
      <c r="C42" s="19" t="s">
        <v>201</v>
      </c>
      <c r="D42" s="19" t="s">
        <v>124</v>
      </c>
      <c r="E42" s="12">
        <v>4279.7</v>
      </c>
      <c r="F42" s="17">
        <f t="shared" si="282"/>
        <v>4104.3999999999996</v>
      </c>
      <c r="G42" s="19">
        <f t="shared" si="283"/>
        <v>175.30000000000018</v>
      </c>
      <c r="H42" s="91">
        <f t="shared" si="104"/>
        <v>1</v>
      </c>
      <c r="I42" s="19">
        <f t="shared" si="284"/>
        <v>175.30000000000018</v>
      </c>
      <c r="J42" s="12">
        <v>3991.2</v>
      </c>
      <c r="K42" s="17">
        <f t="shared" si="285"/>
        <v>3885.9</v>
      </c>
      <c r="L42" s="19">
        <f t="shared" si="286"/>
        <v>105.29999999999973</v>
      </c>
      <c r="M42" s="17">
        <f t="shared" si="89"/>
        <v>1</v>
      </c>
      <c r="N42" s="19">
        <f t="shared" si="287"/>
        <v>105.29999999999973</v>
      </c>
      <c r="O42" s="17">
        <f t="shared" si="288"/>
        <v>-70.000000000000455</v>
      </c>
      <c r="P42" s="12">
        <v>10491</v>
      </c>
      <c r="Q42" s="17">
        <f t="shared" si="289"/>
        <v>10238.4</v>
      </c>
      <c r="R42" s="19">
        <f t="shared" si="290"/>
        <v>252.60000000000036</v>
      </c>
      <c r="S42" s="17">
        <f t="shared" si="94"/>
        <v>1</v>
      </c>
      <c r="T42" s="19">
        <f t="shared" si="291"/>
        <v>252.60000000000036</v>
      </c>
      <c r="U42" s="19">
        <v>2.14</v>
      </c>
      <c r="V42" s="19">
        <v>0.95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201</v>
      </c>
      <c r="D44" s="19" t="s">
        <v>124</v>
      </c>
      <c r="E44" s="12">
        <v>4416</v>
      </c>
      <c r="F44" s="17">
        <f>E42</f>
        <v>4279.7</v>
      </c>
      <c r="G44" s="19">
        <f t="shared" si="283"/>
        <v>136.30000000000018</v>
      </c>
      <c r="H44" s="91">
        <f>H42</f>
        <v>1</v>
      </c>
      <c r="I44" s="19">
        <f t="shared" si="284"/>
        <v>136.30000000000018</v>
      </c>
      <c r="J44" s="12">
        <v>4109.5</v>
      </c>
      <c r="K44" s="17">
        <f>J42</f>
        <v>3991.2</v>
      </c>
      <c r="L44" s="19">
        <f t="shared" si="286"/>
        <v>118.30000000000018</v>
      </c>
      <c r="M44" s="17">
        <f>M42</f>
        <v>1</v>
      </c>
      <c r="N44" s="19">
        <f t="shared" si="287"/>
        <v>118.30000000000018</v>
      </c>
      <c r="O44" s="17">
        <f t="shared" si="288"/>
        <v>-18</v>
      </c>
      <c r="P44" s="12">
        <v>10776.4</v>
      </c>
      <c r="Q44" s="17">
        <f>P42</f>
        <v>10491</v>
      </c>
      <c r="R44" s="19">
        <f t="shared" si="290"/>
        <v>285.39999999999964</v>
      </c>
      <c r="S44" s="17">
        <f>S42</f>
        <v>1</v>
      </c>
      <c r="T44" s="19">
        <f t="shared" si="291"/>
        <v>285.39999999999964</v>
      </c>
      <c r="U44" s="19">
        <v>1.29</v>
      </c>
      <c r="V44" s="19">
        <v>0.82</v>
      </c>
      <c r="W44" s="25"/>
    </row>
    <row r="45" spans="1:23" ht="15.75" x14ac:dyDescent="0.25">
      <c r="A45" s="12">
        <v>36</v>
      </c>
      <c r="B45" s="22" t="s">
        <v>294</v>
      </c>
      <c r="C45" s="19" t="s">
        <v>201</v>
      </c>
      <c r="D45" s="19" t="s">
        <v>124</v>
      </c>
      <c r="E45" s="12">
        <v>4560</v>
      </c>
      <c r="F45" s="17">
        <f t="shared" si="282"/>
        <v>4416</v>
      </c>
      <c r="G45" s="19">
        <f t="shared" si="283"/>
        <v>144</v>
      </c>
      <c r="H45" s="91">
        <f t="shared" si="104"/>
        <v>1</v>
      </c>
      <c r="I45" s="19">
        <f t="shared" si="284"/>
        <v>144</v>
      </c>
      <c r="J45" s="12">
        <v>4194.5</v>
      </c>
      <c r="K45" s="17">
        <f t="shared" si="285"/>
        <v>4109.5</v>
      </c>
      <c r="L45" s="19">
        <f t="shared" si="286"/>
        <v>85</v>
      </c>
      <c r="M45" s="17">
        <f t="shared" si="89"/>
        <v>1</v>
      </c>
      <c r="N45" s="19">
        <f t="shared" si="287"/>
        <v>85</v>
      </c>
      <c r="O45" s="17">
        <f t="shared" si="288"/>
        <v>-59</v>
      </c>
      <c r="P45" s="12">
        <v>10959.5</v>
      </c>
      <c r="Q45" s="17">
        <f t="shared" si="289"/>
        <v>10776.4</v>
      </c>
      <c r="R45" s="19">
        <f t="shared" si="290"/>
        <v>183.10000000000036</v>
      </c>
      <c r="S45" s="17">
        <f t="shared" si="94"/>
        <v>1</v>
      </c>
      <c r="T45" s="19">
        <f t="shared" si="291"/>
        <v>183.10000000000036</v>
      </c>
      <c r="U45" s="19">
        <v>1.05</v>
      </c>
      <c r="V45" s="19">
        <v>0.98</v>
      </c>
      <c r="W45" s="25"/>
    </row>
    <row r="46" spans="1:23" ht="15.75" x14ac:dyDescent="0.25">
      <c r="A46" s="12">
        <v>37</v>
      </c>
      <c r="B46" s="22" t="s">
        <v>295</v>
      </c>
      <c r="C46" s="19" t="s">
        <v>201</v>
      </c>
      <c r="D46" s="19" t="s">
        <v>124</v>
      </c>
      <c r="E46" s="12">
        <v>4698.3</v>
      </c>
      <c r="F46" s="17">
        <f t="shared" si="282"/>
        <v>4560</v>
      </c>
      <c r="G46" s="19">
        <f t="shared" si="283"/>
        <v>138.30000000000018</v>
      </c>
      <c r="H46" s="91">
        <f t="shared" si="104"/>
        <v>1</v>
      </c>
      <c r="I46" s="19">
        <f t="shared" si="284"/>
        <v>138.30000000000018</v>
      </c>
      <c r="J46" s="12">
        <v>4276</v>
      </c>
      <c r="K46" s="17">
        <f t="shared" si="285"/>
        <v>4194.5</v>
      </c>
      <c r="L46" s="19">
        <f t="shared" si="286"/>
        <v>81.5</v>
      </c>
      <c r="M46" s="17">
        <f t="shared" si="89"/>
        <v>1</v>
      </c>
      <c r="N46" s="19">
        <f t="shared" si="287"/>
        <v>81.5</v>
      </c>
      <c r="O46" s="17">
        <f t="shared" si="288"/>
        <v>-56.800000000000182</v>
      </c>
      <c r="P46" s="12">
        <v>11177.1</v>
      </c>
      <c r="Q46" s="17">
        <f t="shared" si="289"/>
        <v>10959.5</v>
      </c>
      <c r="R46" s="19">
        <f t="shared" si="290"/>
        <v>217.60000000000036</v>
      </c>
      <c r="S46" s="17">
        <f t="shared" si="94"/>
        <v>1</v>
      </c>
      <c r="T46" s="19">
        <f t="shared" si="291"/>
        <v>217.60000000000036</v>
      </c>
      <c r="U46" s="19">
        <v>1.65</v>
      </c>
      <c r="V46" s="19">
        <v>0.99</v>
      </c>
      <c r="W46" s="25"/>
    </row>
    <row r="47" spans="1:23" ht="15.75" x14ac:dyDescent="0.25">
      <c r="A47" s="12">
        <v>38</v>
      </c>
      <c r="B47" s="22" t="s">
        <v>296</v>
      </c>
      <c r="C47" s="19" t="s">
        <v>201</v>
      </c>
      <c r="D47" s="19" t="s">
        <v>124</v>
      </c>
      <c r="E47" s="12">
        <v>4837.2</v>
      </c>
      <c r="F47" s="17">
        <f t="shared" si="282"/>
        <v>4698.3</v>
      </c>
      <c r="G47" s="19">
        <f t="shared" si="283"/>
        <v>138.89999999999964</v>
      </c>
      <c r="H47" s="91">
        <f t="shared" si="104"/>
        <v>1</v>
      </c>
      <c r="I47" s="19">
        <f t="shared" si="284"/>
        <v>138.89999999999964</v>
      </c>
      <c r="J47" s="12">
        <v>4341.3</v>
      </c>
      <c r="K47" s="17">
        <f t="shared" si="285"/>
        <v>4276</v>
      </c>
      <c r="L47" s="19">
        <f t="shared" si="286"/>
        <v>65.300000000000182</v>
      </c>
      <c r="M47" s="17">
        <f t="shared" si="89"/>
        <v>1</v>
      </c>
      <c r="N47" s="19">
        <f t="shared" si="287"/>
        <v>65.300000000000182</v>
      </c>
      <c r="O47" s="17">
        <f t="shared" si="288"/>
        <v>-73.599999999999454</v>
      </c>
      <c r="P47" s="12">
        <v>11367.5</v>
      </c>
      <c r="Q47" s="17">
        <f t="shared" si="289"/>
        <v>11177.1</v>
      </c>
      <c r="R47" s="19">
        <f t="shared" si="290"/>
        <v>190.39999999999964</v>
      </c>
      <c r="S47" s="17">
        <f t="shared" si="94"/>
        <v>1</v>
      </c>
      <c r="T47" s="19">
        <f t="shared" si="291"/>
        <v>190.39999999999964</v>
      </c>
      <c r="U47" s="19">
        <v>0.83</v>
      </c>
      <c r="V47" s="19">
        <v>0.9</v>
      </c>
      <c r="W47" s="25"/>
    </row>
    <row r="48" spans="1:23" ht="15.75" x14ac:dyDescent="0.25">
      <c r="A48" s="12">
        <v>39</v>
      </c>
      <c r="B48" s="22" t="s">
        <v>297</v>
      </c>
      <c r="C48" s="19" t="s">
        <v>201</v>
      </c>
      <c r="D48" s="19" t="s">
        <v>124</v>
      </c>
      <c r="E48" s="12">
        <v>4994.2</v>
      </c>
      <c r="F48" s="17">
        <f t="shared" si="282"/>
        <v>4837.2</v>
      </c>
      <c r="G48" s="19">
        <f t="shared" si="283"/>
        <v>157</v>
      </c>
      <c r="H48" s="91">
        <f t="shared" si="104"/>
        <v>1</v>
      </c>
      <c r="I48" s="19">
        <f t="shared" si="284"/>
        <v>157</v>
      </c>
      <c r="J48" s="12">
        <v>4410.1000000000004</v>
      </c>
      <c r="K48" s="17">
        <f t="shared" si="285"/>
        <v>4341.3</v>
      </c>
      <c r="L48" s="19">
        <f t="shared" si="286"/>
        <v>68.800000000000182</v>
      </c>
      <c r="M48" s="17">
        <f t="shared" si="89"/>
        <v>1</v>
      </c>
      <c r="N48" s="19">
        <f t="shared" si="287"/>
        <v>68.800000000000182</v>
      </c>
      <c r="O48" s="17">
        <f t="shared" si="288"/>
        <v>-88.199999999999818</v>
      </c>
      <c r="P48" s="12">
        <v>11550</v>
      </c>
      <c r="Q48" s="17">
        <f t="shared" si="289"/>
        <v>11367.5</v>
      </c>
      <c r="R48" s="19">
        <f t="shared" si="290"/>
        <v>182.5</v>
      </c>
      <c r="S48" s="17">
        <f t="shared" si="94"/>
        <v>1</v>
      </c>
      <c r="T48" s="19">
        <f t="shared" si="291"/>
        <v>182.5</v>
      </c>
      <c r="U48" s="19">
        <v>0.86</v>
      </c>
      <c r="V48" s="19">
        <v>0.89</v>
      </c>
      <c r="W48" s="25"/>
    </row>
    <row r="49" spans="1:23" ht="15.75" x14ac:dyDescent="0.25">
      <c r="A49" s="12">
        <v>40</v>
      </c>
      <c r="B49" s="22" t="s">
        <v>298</v>
      </c>
      <c r="C49" s="19" t="s">
        <v>201</v>
      </c>
      <c r="D49" s="19" t="s">
        <v>124</v>
      </c>
      <c r="E49" s="12">
        <v>5140.3999999999996</v>
      </c>
      <c r="F49" s="17">
        <f t="shared" ref="F49" si="292">E48</f>
        <v>4994.2</v>
      </c>
      <c r="G49" s="19">
        <f t="shared" ref="G49" si="293">E49-F49</f>
        <v>146.19999999999982</v>
      </c>
      <c r="H49" s="91">
        <f t="shared" si="104"/>
        <v>1</v>
      </c>
      <c r="I49" s="19">
        <f t="shared" ref="I49" si="294">G49*H49</f>
        <v>146.19999999999982</v>
      </c>
      <c r="J49" s="12">
        <v>4517.3999999999996</v>
      </c>
      <c r="K49" s="17">
        <f t="shared" ref="K49" si="295">J48</f>
        <v>4410.1000000000004</v>
      </c>
      <c r="L49" s="19">
        <f t="shared" ref="L49" si="296">J49-K49</f>
        <v>107.29999999999927</v>
      </c>
      <c r="M49" s="17">
        <f t="shared" si="89"/>
        <v>1</v>
      </c>
      <c r="N49" s="19">
        <f t="shared" ref="N49" si="297">L49*M49</f>
        <v>107.29999999999927</v>
      </c>
      <c r="O49" s="17">
        <f t="shared" ref="O49" si="298">N49-I49</f>
        <v>-38.900000000000546</v>
      </c>
      <c r="P49" s="12">
        <v>11560.1</v>
      </c>
      <c r="Q49" s="17">
        <f t="shared" ref="Q49" si="299">P48</f>
        <v>11550</v>
      </c>
      <c r="R49" s="19">
        <f t="shared" ref="R49" si="300">P49-Q49</f>
        <v>10.100000000000364</v>
      </c>
      <c r="S49" s="17">
        <f t="shared" si="94"/>
        <v>1</v>
      </c>
      <c r="T49" s="19">
        <f t="shared" ref="T49" si="301">R49*S49</f>
        <v>10.100000000000364</v>
      </c>
      <c r="U49" s="19">
        <v>1.35</v>
      </c>
      <c r="V49" s="19">
        <v>0.9</v>
      </c>
      <c r="W49" s="25"/>
    </row>
    <row r="50" spans="1:23" ht="15.75" x14ac:dyDescent="0.25">
      <c r="A50" s="12">
        <v>41</v>
      </c>
      <c r="B50" s="22" t="s">
        <v>299</v>
      </c>
      <c r="C50" s="19" t="s">
        <v>201</v>
      </c>
      <c r="D50" s="19" t="s">
        <v>124</v>
      </c>
      <c r="E50" s="12">
        <v>5276.8</v>
      </c>
      <c r="F50" s="17">
        <f t="shared" ref="F50" si="302">E49</f>
        <v>5140.3999999999996</v>
      </c>
      <c r="G50" s="19">
        <f t="shared" ref="G50" si="303">E50-F50</f>
        <v>136.40000000000055</v>
      </c>
      <c r="H50" s="91">
        <f t="shared" si="104"/>
        <v>1</v>
      </c>
      <c r="I50" s="19">
        <f t="shared" ref="I50" si="304">G50*H50</f>
        <v>136.40000000000055</v>
      </c>
      <c r="J50" s="12">
        <v>4640.8</v>
      </c>
      <c r="K50" s="17">
        <f t="shared" ref="K50" si="305">J49</f>
        <v>4517.3999999999996</v>
      </c>
      <c r="L50" s="19">
        <f t="shared" ref="L50" si="306">J50-K50</f>
        <v>123.40000000000055</v>
      </c>
      <c r="M50" s="17">
        <f t="shared" si="89"/>
        <v>1</v>
      </c>
      <c r="N50" s="19">
        <f t="shared" ref="N50" si="307">L50*M50</f>
        <v>123.40000000000055</v>
      </c>
      <c r="O50" s="17">
        <f t="shared" ref="O50" si="308">N50-I50</f>
        <v>-13</v>
      </c>
      <c r="P50" s="12">
        <v>11808.6</v>
      </c>
      <c r="Q50" s="17">
        <f t="shared" ref="Q50" si="309">P49</f>
        <v>11560.1</v>
      </c>
      <c r="R50" s="19">
        <f t="shared" ref="R50" si="310">P50-Q50</f>
        <v>248.5</v>
      </c>
      <c r="S50" s="17">
        <f t="shared" si="94"/>
        <v>1</v>
      </c>
      <c r="T50" s="19">
        <f t="shared" ref="T50" si="311">R50*S50</f>
        <v>248.5</v>
      </c>
      <c r="U50" s="19">
        <v>1.67</v>
      </c>
      <c r="V50" s="19">
        <v>0.89</v>
      </c>
      <c r="W50" s="25"/>
    </row>
    <row r="51" spans="1:23" ht="15.75" x14ac:dyDescent="0.25">
      <c r="A51" s="12">
        <v>42</v>
      </c>
      <c r="B51" s="22" t="s">
        <v>300</v>
      </c>
      <c r="C51" s="19" t="s">
        <v>201</v>
      </c>
      <c r="D51" s="19" t="s">
        <v>124</v>
      </c>
      <c r="E51" s="12">
        <v>5387.2</v>
      </c>
      <c r="F51" s="17">
        <f t="shared" ref="F51:F54" si="312">E50</f>
        <v>5276.8</v>
      </c>
      <c r="G51" s="19">
        <f t="shared" ref="G51:G54" si="313">E51-F51</f>
        <v>110.39999999999964</v>
      </c>
      <c r="H51" s="91">
        <f t="shared" si="104"/>
        <v>1</v>
      </c>
      <c r="I51" s="19">
        <f t="shared" ref="I51:I54" si="314">G51*H51</f>
        <v>110.39999999999964</v>
      </c>
      <c r="J51" s="12">
        <v>4757.2</v>
      </c>
      <c r="K51" s="17">
        <f t="shared" ref="K51:K54" si="315">J50</f>
        <v>4640.8</v>
      </c>
      <c r="L51" s="19">
        <f t="shared" ref="L51:L54" si="316">J51-K51</f>
        <v>116.39999999999964</v>
      </c>
      <c r="M51" s="17">
        <f t="shared" si="89"/>
        <v>1</v>
      </c>
      <c r="N51" s="19">
        <f t="shared" ref="N51:N54" si="317">L51*M51</f>
        <v>116.39999999999964</v>
      </c>
      <c r="O51" s="17">
        <f t="shared" ref="O51:O54" si="318">N51-I51</f>
        <v>6</v>
      </c>
      <c r="P51" s="12">
        <v>12031.2</v>
      </c>
      <c r="Q51" s="17">
        <f t="shared" ref="Q51:Q54" si="319">P50</f>
        <v>11808.6</v>
      </c>
      <c r="R51" s="19">
        <f t="shared" ref="R51:R54" si="320">P51-Q51</f>
        <v>222.60000000000036</v>
      </c>
      <c r="S51" s="17">
        <f t="shared" si="94"/>
        <v>1</v>
      </c>
      <c r="T51" s="19">
        <f t="shared" ref="T51:T54" si="321">R51*S51</f>
        <v>222.60000000000036</v>
      </c>
      <c r="U51" s="19">
        <v>0.83</v>
      </c>
      <c r="V51" s="19">
        <v>0.98</v>
      </c>
      <c r="W51" s="25"/>
    </row>
    <row r="52" spans="1:23" ht="15.75" x14ac:dyDescent="0.25">
      <c r="A52" s="12">
        <v>43</v>
      </c>
      <c r="B52" s="22" t="s">
        <v>301</v>
      </c>
      <c r="C52" s="19" t="s">
        <v>201</v>
      </c>
      <c r="D52" s="19" t="s">
        <v>124</v>
      </c>
      <c r="E52" s="12">
        <v>5499.9</v>
      </c>
      <c r="F52" s="17">
        <f t="shared" si="312"/>
        <v>5387.2</v>
      </c>
      <c r="G52" s="19">
        <f t="shared" si="313"/>
        <v>112.69999999999982</v>
      </c>
      <c r="H52" s="91">
        <f t="shared" si="104"/>
        <v>1</v>
      </c>
      <c r="I52" s="19">
        <f t="shared" si="314"/>
        <v>112.69999999999982</v>
      </c>
      <c r="J52" s="12">
        <v>4879.6000000000004</v>
      </c>
      <c r="K52" s="17">
        <f t="shared" si="315"/>
        <v>4757.2</v>
      </c>
      <c r="L52" s="19">
        <f t="shared" si="316"/>
        <v>122.40000000000055</v>
      </c>
      <c r="M52" s="17">
        <f t="shared" si="89"/>
        <v>1</v>
      </c>
      <c r="N52" s="19">
        <f t="shared" si="317"/>
        <v>122.40000000000055</v>
      </c>
      <c r="O52" s="17">
        <f t="shared" si="318"/>
        <v>9.7000000000007276</v>
      </c>
      <c r="P52" s="12">
        <v>12279.9</v>
      </c>
      <c r="Q52" s="17">
        <f t="shared" si="319"/>
        <v>12031.2</v>
      </c>
      <c r="R52" s="19">
        <f t="shared" si="320"/>
        <v>248.69999999999891</v>
      </c>
      <c r="S52" s="17">
        <f t="shared" si="94"/>
        <v>1</v>
      </c>
      <c r="T52" s="19">
        <f t="shared" si="321"/>
        <v>248.69999999999891</v>
      </c>
      <c r="U52" s="19">
        <v>0.94</v>
      </c>
      <c r="V52" s="19">
        <v>0.98</v>
      </c>
      <c r="W52" s="25"/>
    </row>
    <row r="53" spans="1:23" ht="15.75" x14ac:dyDescent="0.25">
      <c r="A53" s="12">
        <v>44</v>
      </c>
      <c r="B53" s="22" t="s">
        <v>302</v>
      </c>
      <c r="C53" s="19" t="s">
        <v>201</v>
      </c>
      <c r="D53" s="19" t="s">
        <v>124</v>
      </c>
      <c r="E53" s="12">
        <v>5606.7</v>
      </c>
      <c r="F53" s="17">
        <f t="shared" si="312"/>
        <v>5499.9</v>
      </c>
      <c r="G53" s="19">
        <f t="shared" si="313"/>
        <v>106.80000000000018</v>
      </c>
      <c r="H53" s="91">
        <f t="shared" si="104"/>
        <v>1</v>
      </c>
      <c r="I53" s="19">
        <f t="shared" si="314"/>
        <v>106.80000000000018</v>
      </c>
      <c r="J53" s="12">
        <v>5038</v>
      </c>
      <c r="K53" s="17">
        <f t="shared" si="315"/>
        <v>4879.6000000000004</v>
      </c>
      <c r="L53" s="19">
        <f t="shared" si="316"/>
        <v>158.39999999999964</v>
      </c>
      <c r="M53" s="17">
        <f t="shared" si="89"/>
        <v>1</v>
      </c>
      <c r="N53" s="19">
        <f t="shared" si="317"/>
        <v>158.39999999999964</v>
      </c>
      <c r="O53" s="17">
        <f t="shared" si="318"/>
        <v>51.599999999999454</v>
      </c>
      <c r="P53" s="12">
        <v>12519.9</v>
      </c>
      <c r="Q53" s="17">
        <f t="shared" si="319"/>
        <v>12279.9</v>
      </c>
      <c r="R53" s="19">
        <f t="shared" si="320"/>
        <v>240</v>
      </c>
      <c r="S53" s="17">
        <f t="shared" si="94"/>
        <v>1</v>
      </c>
      <c r="T53" s="19">
        <f t="shared" si="321"/>
        <v>240</v>
      </c>
      <c r="U53" s="19">
        <v>1.1100000000000001</v>
      </c>
      <c r="V53" s="19">
        <v>0.94</v>
      </c>
      <c r="W53" s="25"/>
    </row>
    <row r="54" spans="1:23" ht="15.75" x14ac:dyDescent="0.25">
      <c r="A54" s="105">
        <v>45</v>
      </c>
      <c r="B54" s="22" t="s">
        <v>303</v>
      </c>
      <c r="C54" s="111" t="s">
        <v>201</v>
      </c>
      <c r="D54" s="111" t="s">
        <v>124</v>
      </c>
      <c r="E54" s="105">
        <v>5715</v>
      </c>
      <c r="F54" s="106">
        <f t="shared" si="312"/>
        <v>5606.7</v>
      </c>
      <c r="G54" s="111">
        <f t="shared" si="313"/>
        <v>108.30000000000018</v>
      </c>
      <c r="H54" s="91">
        <f t="shared" si="104"/>
        <v>1</v>
      </c>
      <c r="I54" s="111">
        <f t="shared" si="314"/>
        <v>108.30000000000018</v>
      </c>
      <c r="J54" s="105">
        <v>5175.1000000000004</v>
      </c>
      <c r="K54" s="106">
        <f t="shared" si="315"/>
        <v>5038</v>
      </c>
      <c r="L54" s="111">
        <f t="shared" si="316"/>
        <v>137.10000000000036</v>
      </c>
      <c r="M54" s="106">
        <f t="shared" si="89"/>
        <v>1</v>
      </c>
      <c r="N54" s="111">
        <f t="shared" si="317"/>
        <v>137.10000000000036</v>
      </c>
      <c r="O54" s="106">
        <f t="shared" si="318"/>
        <v>28.800000000000182</v>
      </c>
      <c r="P54" s="105">
        <v>12792.7</v>
      </c>
      <c r="Q54" s="106">
        <f t="shared" si="319"/>
        <v>12519.9</v>
      </c>
      <c r="R54" s="111">
        <f t="shared" si="320"/>
        <v>272.80000000000109</v>
      </c>
      <c r="S54" s="106">
        <f t="shared" si="94"/>
        <v>1</v>
      </c>
      <c r="T54" s="111">
        <f t="shared" si="321"/>
        <v>272.80000000000109</v>
      </c>
      <c r="U54" s="111">
        <v>1.1100000000000001</v>
      </c>
      <c r="V54" s="111">
        <v>0.9</v>
      </c>
      <c r="W54" s="25"/>
    </row>
    <row r="55" spans="1:23" ht="15.75" x14ac:dyDescent="0.25">
      <c r="A55" s="120">
        <v>46</v>
      </c>
      <c r="B55" s="116" t="s">
        <v>305</v>
      </c>
      <c r="C55" s="118" t="s">
        <v>201</v>
      </c>
      <c r="D55" s="118" t="s">
        <v>124</v>
      </c>
      <c r="E55" s="120">
        <v>5862.4</v>
      </c>
      <c r="F55" s="119">
        <f t="shared" ref="F55" si="322">E54</f>
        <v>5715</v>
      </c>
      <c r="G55" s="118">
        <f t="shared" ref="G55" si="323">E55-F55</f>
        <v>147.39999999999964</v>
      </c>
      <c r="H55" s="91">
        <f t="shared" si="104"/>
        <v>1</v>
      </c>
      <c r="I55" s="118">
        <f t="shared" ref="I55" si="324">G55*H55</f>
        <v>147.39999999999964</v>
      </c>
      <c r="J55" s="120">
        <v>5289.6</v>
      </c>
      <c r="K55" s="119">
        <f t="shared" ref="K55" si="325">J54</f>
        <v>5175.1000000000004</v>
      </c>
      <c r="L55" s="118">
        <f t="shared" ref="L55" si="326">J55-K55</f>
        <v>114.5</v>
      </c>
      <c r="M55" s="119">
        <f t="shared" si="89"/>
        <v>1</v>
      </c>
      <c r="N55" s="118">
        <f t="shared" ref="N55" si="327">L55*M55</f>
        <v>114.5</v>
      </c>
      <c r="O55" s="119">
        <f t="shared" ref="O55" si="328">N55-I55</f>
        <v>-32.899999999999636</v>
      </c>
      <c r="P55" s="120">
        <v>13070.6</v>
      </c>
      <c r="Q55" s="119">
        <f t="shared" ref="Q55" si="329">P54</f>
        <v>12792.7</v>
      </c>
      <c r="R55" s="118">
        <f t="shared" ref="R55" si="330">P55-Q55</f>
        <v>277.89999999999964</v>
      </c>
      <c r="S55" s="119">
        <f t="shared" si="94"/>
        <v>1</v>
      </c>
      <c r="T55" s="118">
        <f t="shared" ref="T55" si="331">R55*S55</f>
        <v>277.89999999999964</v>
      </c>
      <c r="U55" s="118">
        <v>1.65</v>
      </c>
      <c r="V55" s="118">
        <v>0.97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201</v>
      </c>
      <c r="D57" s="123" t="s">
        <v>124</v>
      </c>
      <c r="E57" s="125">
        <v>5971.3</v>
      </c>
      <c r="F57" s="124">
        <f t="shared" ref="F57" si="332">E55</f>
        <v>5862.4</v>
      </c>
      <c r="G57" s="123">
        <f t="shared" ref="G57" si="333">E57-F57</f>
        <v>108.90000000000055</v>
      </c>
      <c r="H57" s="91">
        <f>H55</f>
        <v>1</v>
      </c>
      <c r="I57" s="123">
        <f t="shared" ref="I57" si="334">G57*H57</f>
        <v>108.90000000000055</v>
      </c>
      <c r="J57" s="125">
        <v>5418.1</v>
      </c>
      <c r="K57" s="124">
        <f t="shared" ref="K57" si="335">J55</f>
        <v>5289.6</v>
      </c>
      <c r="L57" s="123">
        <f t="shared" ref="L57" si="336">J57-K57</f>
        <v>128.5</v>
      </c>
      <c r="M57" s="124">
        <f>M55</f>
        <v>1</v>
      </c>
      <c r="N57" s="123">
        <f t="shared" ref="N57" si="337">L57*M57</f>
        <v>128.5</v>
      </c>
      <c r="O57" s="124">
        <f t="shared" ref="O57" si="338">N57-I57</f>
        <v>19.599999999999454</v>
      </c>
      <c r="P57" s="125">
        <v>13318.5</v>
      </c>
      <c r="Q57" s="124">
        <f t="shared" ref="Q57" si="339">P55</f>
        <v>13070.6</v>
      </c>
      <c r="R57" s="123">
        <f t="shared" ref="R57" si="340">P57-Q57</f>
        <v>247.89999999999964</v>
      </c>
      <c r="S57" s="124">
        <f>S55</f>
        <v>1</v>
      </c>
      <c r="T57" s="123">
        <f t="shared" ref="T57" si="341">R57*S57</f>
        <v>247.89999999999964</v>
      </c>
      <c r="U57" s="123">
        <v>0.95</v>
      </c>
      <c r="V57" s="123">
        <v>0.97</v>
      </c>
      <c r="W57" s="25"/>
    </row>
    <row r="58" spans="1:23" ht="15.75" x14ac:dyDescent="0.25">
      <c r="A58" s="126">
        <v>48</v>
      </c>
      <c r="B58" s="116" t="s">
        <v>307</v>
      </c>
      <c r="C58" s="129" t="s">
        <v>201</v>
      </c>
      <c r="D58" s="129" t="s">
        <v>124</v>
      </c>
      <c r="E58" s="126">
        <v>6091.7</v>
      </c>
      <c r="F58" s="127">
        <f t="shared" ref="F58" si="342">E57</f>
        <v>5971.3</v>
      </c>
      <c r="G58" s="129">
        <f t="shared" ref="G58" si="343">E58-F58</f>
        <v>120.39999999999964</v>
      </c>
      <c r="H58" s="91">
        <f t="shared" si="104"/>
        <v>1</v>
      </c>
      <c r="I58" s="129">
        <f t="shared" ref="I58" si="344">G58*H58</f>
        <v>120.39999999999964</v>
      </c>
      <c r="J58" s="126">
        <v>5540.2</v>
      </c>
      <c r="K58" s="127">
        <f t="shared" ref="K58" si="345">J57</f>
        <v>5418.1</v>
      </c>
      <c r="L58" s="129">
        <f t="shared" ref="L58" si="346">J58-K58</f>
        <v>122.09999999999945</v>
      </c>
      <c r="M58" s="127">
        <f t="shared" si="89"/>
        <v>1</v>
      </c>
      <c r="N58" s="129">
        <f t="shared" ref="N58" si="347">L58*M58</f>
        <v>122.09999999999945</v>
      </c>
      <c r="O58" s="127">
        <f t="shared" ref="O58" si="348">N58-I58</f>
        <v>1.6999999999998181</v>
      </c>
      <c r="P58" s="126">
        <v>13568.3</v>
      </c>
      <c r="Q58" s="127">
        <f t="shared" ref="Q58" si="349">P57</f>
        <v>13318.5</v>
      </c>
      <c r="R58" s="129">
        <f t="shared" ref="R58" si="350">P58-Q58</f>
        <v>249.79999999999927</v>
      </c>
      <c r="S58" s="127">
        <f t="shared" si="94"/>
        <v>1</v>
      </c>
      <c r="T58" s="129">
        <f t="shared" ref="T58" si="351">R58*S58</f>
        <v>249.79999999999927</v>
      </c>
      <c r="U58" s="129">
        <v>1.93</v>
      </c>
      <c r="V58" s="129">
        <v>0.9</v>
      </c>
      <c r="W58" s="25"/>
    </row>
    <row r="59" spans="1:23" ht="15.75" x14ac:dyDescent="0.25">
      <c r="A59" s="135">
        <v>49</v>
      </c>
      <c r="B59" s="116" t="s">
        <v>309</v>
      </c>
      <c r="C59" s="138" t="s">
        <v>201</v>
      </c>
      <c r="D59" s="138" t="s">
        <v>124</v>
      </c>
      <c r="E59" s="135">
        <v>6204.6</v>
      </c>
      <c r="F59" s="136">
        <f t="shared" ref="F59" si="352">E58</f>
        <v>6091.7</v>
      </c>
      <c r="G59" s="138">
        <f t="shared" ref="G59:G61" si="353">E59-F59</f>
        <v>112.90000000000055</v>
      </c>
      <c r="H59" s="91">
        <f t="shared" si="104"/>
        <v>1</v>
      </c>
      <c r="I59" s="138">
        <f t="shared" ref="I59:I61" si="354">G59*H59</f>
        <v>112.90000000000055</v>
      </c>
      <c r="J59" s="135">
        <v>5649.8</v>
      </c>
      <c r="K59" s="136">
        <f t="shared" ref="K59" si="355">J58</f>
        <v>5540.2</v>
      </c>
      <c r="L59" s="138">
        <f t="shared" ref="L59:L61" si="356">J59-K59</f>
        <v>109.60000000000036</v>
      </c>
      <c r="M59" s="136">
        <f t="shared" si="89"/>
        <v>1</v>
      </c>
      <c r="N59" s="138">
        <f t="shared" ref="N59:N61" si="357">L59*M59</f>
        <v>109.60000000000036</v>
      </c>
      <c r="O59" s="136">
        <f t="shared" ref="O59:O61" si="358">N59-I59</f>
        <v>-3.3000000000001819</v>
      </c>
      <c r="P59" s="135">
        <v>13790.7</v>
      </c>
      <c r="Q59" s="136">
        <f t="shared" ref="Q59" si="359">P58</f>
        <v>13568.3</v>
      </c>
      <c r="R59" s="138">
        <f t="shared" ref="R59:R61" si="360">P59-Q59</f>
        <v>222.40000000000146</v>
      </c>
      <c r="S59" s="136">
        <f t="shared" si="94"/>
        <v>1</v>
      </c>
      <c r="T59" s="138">
        <f t="shared" ref="T59:T61" si="361">R59*S59</f>
        <v>222.40000000000146</v>
      </c>
      <c r="U59" s="138">
        <v>0.7</v>
      </c>
      <c r="V59" s="138">
        <v>0.96</v>
      </c>
      <c r="W59" s="25"/>
    </row>
    <row r="60" spans="1:23" ht="15.75" x14ac:dyDescent="0.25">
      <c r="A60" s="146">
        <v>50</v>
      </c>
      <c r="B60" s="116" t="s">
        <v>310</v>
      </c>
      <c r="C60" s="144" t="s">
        <v>201</v>
      </c>
      <c r="D60" s="144" t="s">
        <v>124</v>
      </c>
      <c r="E60" s="146">
        <v>6314.2</v>
      </c>
      <c r="F60" s="145">
        <f t="shared" ref="F60" si="362">E58</f>
        <v>6091.7</v>
      </c>
      <c r="G60" s="144">
        <f t="shared" si="353"/>
        <v>222.5</v>
      </c>
      <c r="H60" s="91">
        <f>H58</f>
        <v>1</v>
      </c>
      <c r="I60" s="144">
        <f t="shared" si="354"/>
        <v>222.5</v>
      </c>
      <c r="J60" s="146">
        <v>5730.5</v>
      </c>
      <c r="K60" s="145">
        <f t="shared" ref="K60" si="363">J58</f>
        <v>5540.2</v>
      </c>
      <c r="L60" s="144">
        <f t="shared" si="356"/>
        <v>190.30000000000018</v>
      </c>
      <c r="M60" s="145">
        <f>M58</f>
        <v>1</v>
      </c>
      <c r="N60" s="144">
        <f t="shared" si="357"/>
        <v>190.30000000000018</v>
      </c>
      <c r="O60" s="145">
        <f t="shared" si="358"/>
        <v>-32.199999999999818</v>
      </c>
      <c r="P60" s="146">
        <v>13969.4</v>
      </c>
      <c r="Q60" s="145">
        <f t="shared" ref="Q60" si="364">P58</f>
        <v>13568.3</v>
      </c>
      <c r="R60" s="144">
        <f t="shared" si="360"/>
        <v>401.10000000000036</v>
      </c>
      <c r="S60" s="145">
        <f>S58</f>
        <v>1</v>
      </c>
      <c r="T60" s="144">
        <f t="shared" si="361"/>
        <v>401.10000000000036</v>
      </c>
      <c r="U60" s="144">
        <v>1.1599999999999999</v>
      </c>
      <c r="V60" s="144">
        <v>0.98</v>
      </c>
      <c r="W60" s="25"/>
    </row>
    <row r="61" spans="1:23" ht="15.75" x14ac:dyDescent="0.25">
      <c r="A61" s="151">
        <v>51</v>
      </c>
      <c r="B61" s="116" t="s">
        <v>316</v>
      </c>
      <c r="C61" s="149" t="s">
        <v>201</v>
      </c>
      <c r="D61" s="149" t="s">
        <v>124</v>
      </c>
      <c r="E61" s="151">
        <v>6426.7</v>
      </c>
      <c r="F61" s="150">
        <v>6314.2</v>
      </c>
      <c r="G61" s="149">
        <f t="shared" si="353"/>
        <v>112.5</v>
      </c>
      <c r="H61" s="91">
        <f>H58</f>
        <v>1</v>
      </c>
      <c r="I61" s="149">
        <f t="shared" si="354"/>
        <v>112.5</v>
      </c>
      <c r="J61" s="151">
        <v>5869.7</v>
      </c>
      <c r="K61" s="150">
        <v>5730.5</v>
      </c>
      <c r="L61" s="149">
        <f t="shared" si="356"/>
        <v>139.19999999999982</v>
      </c>
      <c r="M61" s="150">
        <f>M58</f>
        <v>1</v>
      </c>
      <c r="N61" s="149">
        <f t="shared" si="357"/>
        <v>139.19999999999982</v>
      </c>
      <c r="O61" s="150">
        <f t="shared" si="358"/>
        <v>26.699999999999818</v>
      </c>
      <c r="P61" s="151">
        <v>14225.1</v>
      </c>
      <c r="Q61" s="150">
        <v>13969</v>
      </c>
      <c r="R61" s="149">
        <f t="shared" si="360"/>
        <v>256.10000000000036</v>
      </c>
      <c r="S61" s="150">
        <f>S58</f>
        <v>1</v>
      </c>
      <c r="T61" s="149">
        <f t="shared" si="361"/>
        <v>256.10000000000036</v>
      </c>
      <c r="U61" s="149">
        <v>1.1499999999999999</v>
      </c>
      <c r="V61" s="149">
        <v>0.91</v>
      </c>
      <c r="W61" s="25"/>
    </row>
    <row r="62" spans="1:23" ht="15.75" x14ac:dyDescent="0.25">
      <c r="A62" s="155">
        <v>52</v>
      </c>
      <c r="B62" s="116" t="s">
        <v>319</v>
      </c>
      <c r="C62" s="142" t="s">
        <v>201</v>
      </c>
      <c r="D62" s="142" t="s">
        <v>124</v>
      </c>
      <c r="E62" s="139">
        <v>6553.7</v>
      </c>
      <c r="F62" s="140">
        <v>6426.7</v>
      </c>
      <c r="G62" s="142">
        <f t="shared" ref="G62:G64" si="365">E62-F62</f>
        <v>127</v>
      </c>
      <c r="H62" s="91">
        <f>H59</f>
        <v>1</v>
      </c>
      <c r="I62" s="142">
        <f t="shared" ref="I62:I64" si="366">G62*H62</f>
        <v>127</v>
      </c>
      <c r="J62" s="139">
        <v>5986</v>
      </c>
      <c r="K62" s="140">
        <v>5869.7</v>
      </c>
      <c r="L62" s="142">
        <f t="shared" ref="L62:L64" si="367">J62-K62</f>
        <v>116.30000000000018</v>
      </c>
      <c r="M62" s="140">
        <f>M59</f>
        <v>1</v>
      </c>
      <c r="N62" s="142">
        <f t="shared" ref="N62:N64" si="368">L62*M62</f>
        <v>116.30000000000018</v>
      </c>
      <c r="O62" s="140">
        <f t="shared" ref="O62:O64" si="369">N62-I62</f>
        <v>-10.699999999999818</v>
      </c>
      <c r="P62" s="139">
        <v>14471</v>
      </c>
      <c r="Q62" s="140">
        <v>14225</v>
      </c>
      <c r="R62" s="142">
        <f t="shared" ref="R62:R64" si="370">P62-Q62</f>
        <v>246</v>
      </c>
      <c r="S62" s="140">
        <f>S59</f>
        <v>1</v>
      </c>
      <c r="T62" s="142">
        <f t="shared" ref="T62:T64" si="371">R62*S62</f>
        <v>246</v>
      </c>
      <c r="U62" s="142">
        <v>2.02</v>
      </c>
      <c r="V62" s="142">
        <v>0.91</v>
      </c>
      <c r="W62" s="25"/>
    </row>
    <row r="63" spans="1:23" ht="15.75" x14ac:dyDescent="0.25">
      <c r="A63" s="170">
        <v>53</v>
      </c>
      <c r="B63" s="116" t="s">
        <v>321</v>
      </c>
      <c r="C63" s="168" t="s">
        <v>201</v>
      </c>
      <c r="D63" s="168" t="s">
        <v>124</v>
      </c>
      <c r="E63" s="170">
        <v>6683.1</v>
      </c>
      <c r="F63" s="170">
        <v>6553.7</v>
      </c>
      <c r="G63" s="168">
        <f t="shared" si="365"/>
        <v>129.40000000000055</v>
      </c>
      <c r="H63" s="91">
        <f>H59</f>
        <v>1</v>
      </c>
      <c r="I63" s="168">
        <f t="shared" si="366"/>
        <v>129.40000000000055</v>
      </c>
      <c r="J63" s="170">
        <v>6126.6</v>
      </c>
      <c r="K63" s="170">
        <v>5986</v>
      </c>
      <c r="L63" s="168">
        <f t="shared" si="367"/>
        <v>140.60000000000036</v>
      </c>
      <c r="M63" s="169">
        <f>M59</f>
        <v>1</v>
      </c>
      <c r="N63" s="168">
        <f t="shared" si="368"/>
        <v>140.60000000000036</v>
      </c>
      <c r="O63" s="169">
        <f t="shared" si="369"/>
        <v>11.199999999999818</v>
      </c>
      <c r="P63" s="170">
        <v>14717</v>
      </c>
      <c r="Q63" s="170">
        <v>14471</v>
      </c>
      <c r="R63" s="168">
        <f t="shared" si="370"/>
        <v>246</v>
      </c>
      <c r="S63" s="169">
        <f>S59</f>
        <v>1</v>
      </c>
      <c r="T63" s="168">
        <f t="shared" si="371"/>
        <v>246</v>
      </c>
      <c r="U63" s="168">
        <v>0.89</v>
      </c>
      <c r="V63" s="168">
        <v>0.97</v>
      </c>
      <c r="W63" s="25"/>
    </row>
    <row r="64" spans="1:23" ht="15.75" x14ac:dyDescent="0.25">
      <c r="A64" s="175">
        <v>54</v>
      </c>
      <c r="B64" s="116" t="s">
        <v>327</v>
      </c>
      <c r="C64" s="178" t="s">
        <v>201</v>
      </c>
      <c r="D64" s="178" t="s">
        <v>124</v>
      </c>
      <c r="E64" s="175">
        <v>6814.4</v>
      </c>
      <c r="F64" s="175">
        <v>6683.1</v>
      </c>
      <c r="G64" s="178">
        <f t="shared" si="365"/>
        <v>131.29999999999927</v>
      </c>
      <c r="H64" s="91">
        <f>H59</f>
        <v>1</v>
      </c>
      <c r="I64" s="178">
        <f t="shared" si="366"/>
        <v>131.29999999999927</v>
      </c>
      <c r="J64" s="175">
        <v>6251.6</v>
      </c>
      <c r="K64" s="175">
        <v>6125.6</v>
      </c>
      <c r="L64" s="178">
        <f t="shared" si="367"/>
        <v>126</v>
      </c>
      <c r="M64" s="176">
        <f>M59</f>
        <v>1</v>
      </c>
      <c r="N64" s="178">
        <f t="shared" si="368"/>
        <v>126</v>
      </c>
      <c r="O64" s="176">
        <f t="shared" si="369"/>
        <v>-5.2999999999992724</v>
      </c>
      <c r="P64" s="175">
        <v>14940.3</v>
      </c>
      <c r="Q64" s="175">
        <v>14717</v>
      </c>
      <c r="R64" s="178">
        <f t="shared" si="370"/>
        <v>223.29999999999927</v>
      </c>
      <c r="S64" s="176">
        <f>S59</f>
        <v>1</v>
      </c>
      <c r="T64" s="178">
        <f t="shared" si="371"/>
        <v>223.29999999999927</v>
      </c>
      <c r="U64" s="178">
        <v>1.05</v>
      </c>
      <c r="V64" s="178">
        <v>0.52</v>
      </c>
      <c r="W64" s="25"/>
    </row>
    <row r="65" spans="1:23" ht="15.75" x14ac:dyDescent="0.25">
      <c r="A65" s="155">
        <v>55</v>
      </c>
      <c r="B65" s="116" t="s">
        <v>330</v>
      </c>
      <c r="C65" s="158" t="s">
        <v>201</v>
      </c>
      <c r="D65" s="158" t="s">
        <v>124</v>
      </c>
      <c r="E65" s="155">
        <v>6859</v>
      </c>
      <c r="F65" s="175">
        <v>6814.4</v>
      </c>
      <c r="G65" s="158">
        <f t="shared" ref="G65:G66" si="372">E65-F65</f>
        <v>44.600000000000364</v>
      </c>
      <c r="H65" s="91">
        <f>H60</f>
        <v>1</v>
      </c>
      <c r="I65" s="158">
        <f t="shared" ref="I65:I66" si="373">G65*H65</f>
        <v>44.600000000000364</v>
      </c>
      <c r="J65" s="155">
        <v>6362.3</v>
      </c>
      <c r="K65" s="175">
        <v>6251.6</v>
      </c>
      <c r="L65" s="158">
        <f t="shared" ref="L65:L66" si="374">J65-K65</f>
        <v>110.69999999999982</v>
      </c>
      <c r="M65" s="156">
        <f>M60</f>
        <v>1</v>
      </c>
      <c r="N65" s="158">
        <f t="shared" ref="N65:N66" si="375">L65*M65</f>
        <v>110.69999999999982</v>
      </c>
      <c r="O65" s="156">
        <f t="shared" ref="O65:O66" si="376">N65-I65</f>
        <v>66.099999999999454</v>
      </c>
      <c r="P65" s="155">
        <v>15165.5</v>
      </c>
      <c r="Q65" s="175">
        <v>14940.3</v>
      </c>
      <c r="R65" s="158">
        <f t="shared" ref="R65:R66" si="377">P65-Q65</f>
        <v>225.20000000000073</v>
      </c>
      <c r="S65" s="156">
        <f>S60</f>
        <v>1</v>
      </c>
      <c r="T65" s="158">
        <f t="shared" ref="T65:T66" si="378">R65*S65</f>
        <v>225.20000000000073</v>
      </c>
      <c r="U65" s="158">
        <v>1.05</v>
      </c>
      <c r="V65" s="158">
        <v>0.98</v>
      </c>
      <c r="W65" s="25"/>
    </row>
    <row r="66" spans="1:23" ht="15.75" x14ac:dyDescent="0.25">
      <c r="A66" s="183">
        <v>56</v>
      </c>
      <c r="B66" s="116" t="s">
        <v>331</v>
      </c>
      <c r="C66" s="186" t="s">
        <v>201</v>
      </c>
      <c r="D66" s="186" t="s">
        <v>124</v>
      </c>
      <c r="E66" s="183">
        <v>7107.1</v>
      </c>
      <c r="F66" s="183">
        <v>6859</v>
      </c>
      <c r="G66" s="186">
        <f t="shared" si="372"/>
        <v>248.10000000000036</v>
      </c>
      <c r="H66" s="91">
        <f>H60</f>
        <v>1</v>
      </c>
      <c r="I66" s="186">
        <f t="shared" si="373"/>
        <v>248.10000000000036</v>
      </c>
      <c r="J66" s="183">
        <v>6514.1</v>
      </c>
      <c r="K66" s="183">
        <v>6362.3</v>
      </c>
      <c r="L66" s="186">
        <f t="shared" si="374"/>
        <v>151.80000000000018</v>
      </c>
      <c r="M66" s="184">
        <f>M60</f>
        <v>1</v>
      </c>
      <c r="N66" s="186">
        <f t="shared" si="375"/>
        <v>151.80000000000018</v>
      </c>
      <c r="O66" s="184">
        <f t="shared" si="376"/>
        <v>-96.300000000000182</v>
      </c>
      <c r="P66" s="183">
        <v>15440.3</v>
      </c>
      <c r="Q66" s="183">
        <v>15165.5</v>
      </c>
      <c r="R66" s="186">
        <f t="shared" si="377"/>
        <v>274.79999999999927</v>
      </c>
      <c r="S66" s="184">
        <f>S60</f>
        <v>1</v>
      </c>
      <c r="T66" s="186">
        <f t="shared" si="378"/>
        <v>274.79999999999927</v>
      </c>
      <c r="U66" s="186">
        <v>0.87</v>
      </c>
      <c r="V66" s="186">
        <v>0.99</v>
      </c>
      <c r="W66" s="25"/>
    </row>
    <row r="67" spans="1:23" ht="15.75" x14ac:dyDescent="0.25">
      <c r="A67" s="182">
        <v>57</v>
      </c>
      <c r="B67" s="116" t="s">
        <v>332</v>
      </c>
      <c r="C67" s="180" t="s">
        <v>201</v>
      </c>
      <c r="D67" s="180" t="s">
        <v>124</v>
      </c>
      <c r="E67" s="182">
        <v>7252.1</v>
      </c>
      <c r="F67" s="182">
        <v>7107.1</v>
      </c>
      <c r="G67" s="180">
        <f t="shared" ref="G67" si="379">E67-F67</f>
        <v>145</v>
      </c>
      <c r="H67" s="91">
        <f>H61</f>
        <v>1</v>
      </c>
      <c r="I67" s="180">
        <f t="shared" ref="I67" si="380">G67*H67</f>
        <v>145</v>
      </c>
      <c r="J67" s="182">
        <v>6727</v>
      </c>
      <c r="K67" s="182">
        <v>6514.1</v>
      </c>
      <c r="L67" s="180">
        <f t="shared" ref="L67" si="381">J67-K67</f>
        <v>212.89999999999964</v>
      </c>
      <c r="M67" s="181">
        <f>M61</f>
        <v>1</v>
      </c>
      <c r="N67" s="180">
        <f t="shared" ref="N67" si="382">L67*M67</f>
        <v>212.89999999999964</v>
      </c>
      <c r="O67" s="181">
        <f t="shared" ref="O67" si="383">N67-I67</f>
        <v>67.899999999999636</v>
      </c>
      <c r="P67" s="182">
        <v>15791.8</v>
      </c>
      <c r="Q67" s="182">
        <v>15440</v>
      </c>
      <c r="R67" s="180">
        <f t="shared" ref="R67" si="384">P67-Q67</f>
        <v>351.79999999999927</v>
      </c>
      <c r="S67" s="181">
        <f>S61</f>
        <v>1</v>
      </c>
      <c r="T67" s="180">
        <f t="shared" ref="T67" si="385">R67*S67</f>
        <v>351.79999999999927</v>
      </c>
      <c r="U67" s="180">
        <v>1.32</v>
      </c>
      <c r="V67" s="180">
        <v>0.99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4"/>
      <c r="H68" s="162" t="s">
        <v>121</v>
      </c>
      <c r="I68" s="164">
        <f>SUM(I57:I65)</f>
        <v>1109.5000000000009</v>
      </c>
      <c r="J68" s="164"/>
      <c r="K68" s="162"/>
      <c r="L68" s="164"/>
      <c r="M68" s="162"/>
      <c r="N68" s="164">
        <f>SUM(N57:N65)</f>
        <v>1183.3000000000002</v>
      </c>
      <c r="O68" s="164">
        <f>SUM(O57:O65)</f>
        <v>73.799999999999272</v>
      </c>
      <c r="P68" s="164"/>
      <c r="Q68" s="162"/>
      <c r="R68" s="164"/>
      <c r="S68" s="162"/>
      <c r="T68" s="164">
        <f>SUM(T57:T65)</f>
        <v>2317.8000000000011</v>
      </c>
      <c r="U68" s="164"/>
      <c r="V68" s="164"/>
      <c r="W68" s="31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38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38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38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24"/>
      <c r="V71" s="24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38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24"/>
      <c r="V72" s="24"/>
      <c r="W72" s="25"/>
    </row>
    <row r="73" spans="1:23" ht="15.75" x14ac:dyDescent="0.25">
      <c r="A73" s="37"/>
      <c r="B73" s="78"/>
      <c r="C73" s="24"/>
      <c r="D73" s="24"/>
      <c r="E73" s="37"/>
      <c r="F73" s="38"/>
      <c r="G73" s="24"/>
      <c r="H73" s="38"/>
      <c r="I73" s="24"/>
      <c r="J73" s="37"/>
      <c r="K73" s="38"/>
      <c r="L73" s="24"/>
      <c r="M73" s="38"/>
      <c r="N73" s="24"/>
      <c r="O73" s="38"/>
      <c r="P73" s="37"/>
      <c r="Q73" s="38"/>
      <c r="R73" s="24"/>
      <c r="S73" s="38"/>
      <c r="T73" s="24"/>
      <c r="U73" s="24"/>
      <c r="V73" s="24"/>
      <c r="W73" s="25"/>
    </row>
    <row r="74" spans="1:23" ht="15.75" x14ac:dyDescent="0.25">
      <c r="A74" s="37"/>
      <c r="B74" s="78"/>
      <c r="C74" s="24"/>
      <c r="D74" s="24"/>
      <c r="E74" s="37"/>
      <c r="F74" s="38"/>
      <c r="G74" s="24"/>
      <c r="H74" s="38"/>
      <c r="I74" s="24"/>
      <c r="J74" s="37"/>
      <c r="K74" s="38"/>
      <c r="L74" s="24"/>
      <c r="M74" s="38"/>
      <c r="N74" s="24"/>
      <c r="O74" s="38"/>
      <c r="P74" s="37"/>
      <c r="Q74" s="38"/>
      <c r="R74" s="24"/>
      <c r="S74" s="38"/>
      <c r="T74" s="24"/>
      <c r="U74" s="24"/>
      <c r="V74" s="24"/>
      <c r="W74" s="25"/>
    </row>
    <row r="75" spans="1:23" ht="15.75" x14ac:dyDescent="0.25">
      <c r="A75" s="37"/>
      <c r="B75" s="78"/>
      <c r="C75" s="24"/>
      <c r="D75" s="24"/>
      <c r="E75" s="37"/>
      <c r="F75" s="38"/>
      <c r="G75" s="24"/>
      <c r="H75" s="38"/>
      <c r="I75" s="24"/>
      <c r="J75" s="37"/>
      <c r="K75" s="38"/>
      <c r="L75" s="24"/>
      <c r="M75" s="38"/>
      <c r="N75" s="24"/>
      <c r="O75" s="38"/>
      <c r="P75" s="37"/>
      <c r="Q75" s="38"/>
      <c r="R75" s="24"/>
      <c r="S75" s="38"/>
      <c r="T75" s="24"/>
      <c r="U75" s="24"/>
      <c r="V75" s="24"/>
      <c r="W75" s="25"/>
    </row>
    <row r="76" spans="1:23" ht="15.75" x14ac:dyDescent="0.25">
      <c r="A76" s="37"/>
      <c r="B76" s="78"/>
      <c r="C76" s="24"/>
      <c r="D76" s="24"/>
      <c r="E76" s="37"/>
      <c r="F76" s="38"/>
      <c r="G76" s="24"/>
      <c r="H76" s="38"/>
      <c r="I76" s="24"/>
      <c r="J76" s="37"/>
      <c r="K76" s="38"/>
      <c r="L76" s="24"/>
      <c r="M76" s="38"/>
      <c r="N76" s="24"/>
      <c r="O76" s="38"/>
      <c r="P76" s="37"/>
      <c r="Q76" s="38"/>
      <c r="R76" s="24"/>
      <c r="S76" s="38"/>
      <c r="T76" s="24"/>
      <c r="U76" s="24"/>
      <c r="V76" s="24"/>
      <c r="W76" s="25"/>
    </row>
    <row r="77" spans="1:23" ht="15.75" x14ac:dyDescent="0.25">
      <c r="A77" s="31">
        <v>1</v>
      </c>
      <c r="B77" s="31" t="s">
        <v>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37"/>
      <c r="Q77" s="38"/>
      <c r="R77" s="24"/>
      <c r="S77" s="38"/>
      <c r="T77" s="24"/>
      <c r="U77" s="25"/>
      <c r="V77" s="25"/>
      <c r="W77" s="25"/>
    </row>
    <row r="78" spans="1:23" ht="15.75" x14ac:dyDescent="0.25">
      <c r="A78" s="31">
        <v>2</v>
      </c>
      <c r="B78" s="31" t="s">
        <v>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37"/>
      <c r="Q78" s="38"/>
      <c r="R78" s="24"/>
      <c r="S78" s="38"/>
      <c r="T78" s="24"/>
      <c r="U78" s="25"/>
      <c r="V78" s="25"/>
      <c r="W78" s="25"/>
    </row>
    <row r="79" spans="1:23" ht="15.75" x14ac:dyDescent="0.25">
      <c r="A79" s="31">
        <v>3</v>
      </c>
      <c r="B79" s="31" t="s">
        <v>25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37"/>
      <c r="Q79" s="38"/>
      <c r="R79" s="24"/>
      <c r="S79" s="38"/>
      <c r="T79" s="24"/>
      <c r="U79" s="25"/>
      <c r="V79" s="25"/>
      <c r="W79" s="25"/>
    </row>
    <row r="82" spans="18:18" x14ac:dyDescent="0.25">
      <c r="R82" t="s">
        <v>65</v>
      </c>
    </row>
  </sheetData>
  <mergeCells count="20">
    <mergeCell ref="A1:V1"/>
    <mergeCell ref="A2:V2"/>
    <mergeCell ref="B3:C3"/>
    <mergeCell ref="E3:I3"/>
    <mergeCell ref="J3:L3"/>
    <mergeCell ref="M3:N3"/>
    <mergeCell ref="O3:U3"/>
    <mergeCell ref="A5:A6"/>
    <mergeCell ref="B5:B6"/>
    <mergeCell ref="C5:C6"/>
    <mergeCell ref="D5:D6"/>
    <mergeCell ref="E5:I5"/>
    <mergeCell ref="J5:N5"/>
    <mergeCell ref="O5:O6"/>
    <mergeCell ref="P5:T5"/>
    <mergeCell ref="B4:C4"/>
    <mergeCell ref="E4:I4"/>
    <mergeCell ref="J4:L4"/>
    <mergeCell ref="M4:N4"/>
    <mergeCell ref="O4:U4"/>
  </mergeCells>
  <printOptions horizontalCentered="1"/>
  <pageMargins left="0" right="0" top="0.75" bottom="0.75" header="0.3" footer="0.3"/>
  <pageSetup paperSize="9" scale="3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79"/>
  <sheetViews>
    <sheetView view="pageBreakPreview" topLeftCell="A46" zoomScale="85" zoomScaleNormal="85" zoomScaleSheetLayoutView="85" workbookViewId="0">
      <selection activeCell="N73" sqref="N73"/>
    </sheetView>
  </sheetViews>
  <sheetFormatPr defaultRowHeight="15" x14ac:dyDescent="0.25"/>
  <cols>
    <col min="1" max="1" width="7.5703125" customWidth="1"/>
    <col min="2" max="2" width="13" customWidth="1"/>
    <col min="3" max="3" width="16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180</v>
      </c>
      <c r="C3" s="207"/>
      <c r="D3" s="12" t="s">
        <v>6</v>
      </c>
      <c r="E3" s="201" t="s">
        <v>179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143</v>
      </c>
      <c r="W3" s="25"/>
    </row>
    <row r="4" spans="1:23" ht="15.75" x14ac:dyDescent="0.25">
      <c r="A4" s="12" t="s">
        <v>0</v>
      </c>
      <c r="B4" s="216" t="s">
        <v>178</v>
      </c>
      <c r="C4" s="216"/>
      <c r="D4" s="12" t="s">
        <v>9</v>
      </c>
      <c r="E4" s="201">
        <v>9945805016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>
        <v>43622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32</v>
      </c>
      <c r="D7" s="19" t="s">
        <v>124</v>
      </c>
      <c r="E7" s="17">
        <v>262.8</v>
      </c>
      <c r="F7" s="17">
        <v>0.1</v>
      </c>
      <c r="G7" s="19">
        <f t="shared" ref="G7" si="0">E7-F7</f>
        <v>262.7</v>
      </c>
      <c r="H7" s="17">
        <v>1</v>
      </c>
      <c r="I7" s="19">
        <f t="shared" ref="I7" si="1">G7*H7</f>
        <v>262.7</v>
      </c>
      <c r="J7" s="17">
        <v>80</v>
      </c>
      <c r="K7" s="17">
        <v>0.1</v>
      </c>
      <c r="L7" s="19">
        <f t="shared" ref="L7" si="2">J7-K7</f>
        <v>79.900000000000006</v>
      </c>
      <c r="M7" s="17">
        <v>1</v>
      </c>
      <c r="N7" s="19">
        <f t="shared" ref="N7" si="3">L7*M7</f>
        <v>79.900000000000006</v>
      </c>
      <c r="O7" s="17">
        <f>N7-I7</f>
        <v>-182.79999999999998</v>
      </c>
      <c r="P7" s="17">
        <v>142.9</v>
      </c>
      <c r="Q7" s="17">
        <v>0</v>
      </c>
      <c r="R7" s="19">
        <f t="shared" ref="R7" si="4">P7-Q7</f>
        <v>142.9</v>
      </c>
      <c r="S7" s="17">
        <v>1</v>
      </c>
      <c r="T7" s="19">
        <f t="shared" ref="T7" si="5">R7*S7</f>
        <v>142.9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32</v>
      </c>
      <c r="D8" s="19" t="s">
        <v>124</v>
      </c>
      <c r="E8" s="17">
        <v>597.6</v>
      </c>
      <c r="F8" s="17">
        <f t="shared" ref="F8:F13" si="6">E7</f>
        <v>262.8</v>
      </c>
      <c r="G8" s="19">
        <f t="shared" ref="G8" si="7">E8-F8</f>
        <v>334.8</v>
      </c>
      <c r="H8" s="17">
        <f t="shared" ref="H8:H16" si="8">H7</f>
        <v>1</v>
      </c>
      <c r="I8" s="19">
        <f t="shared" ref="I8" si="9">G8*H8</f>
        <v>334.8</v>
      </c>
      <c r="J8" s="17">
        <v>181.6</v>
      </c>
      <c r="K8" s="17">
        <f t="shared" ref="K8:K13" si="10">J7</f>
        <v>80</v>
      </c>
      <c r="L8" s="19">
        <f t="shared" ref="L8" si="11">J8-K8</f>
        <v>101.6</v>
      </c>
      <c r="M8" s="17">
        <f t="shared" ref="M8:M16" si="12">M7</f>
        <v>1</v>
      </c>
      <c r="N8" s="19">
        <f t="shared" ref="N8" si="13">L8*M8</f>
        <v>101.6</v>
      </c>
      <c r="O8" s="17">
        <f>N8-I8</f>
        <v>-233.20000000000002</v>
      </c>
      <c r="P8" s="17">
        <v>371.8</v>
      </c>
      <c r="Q8" s="17">
        <f t="shared" ref="Q8:Q13" si="14">P7</f>
        <v>142.9</v>
      </c>
      <c r="R8" s="19">
        <f t="shared" ref="R8" si="15">P8-Q8</f>
        <v>228.9</v>
      </c>
      <c r="S8" s="17">
        <f t="shared" ref="S8:S16" si="16">S7</f>
        <v>1</v>
      </c>
      <c r="T8" s="19">
        <f t="shared" ref="T8" si="17">R8*S8</f>
        <v>228.9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32</v>
      </c>
      <c r="D9" s="19" t="s">
        <v>124</v>
      </c>
      <c r="E9" s="17">
        <v>960</v>
      </c>
      <c r="F9" s="17">
        <f t="shared" si="6"/>
        <v>597.6</v>
      </c>
      <c r="G9" s="19">
        <f t="shared" ref="G9" si="18">E9-F9</f>
        <v>362.4</v>
      </c>
      <c r="H9" s="17">
        <f t="shared" si="8"/>
        <v>1</v>
      </c>
      <c r="I9" s="19">
        <f t="shared" ref="I9" si="19">G9*H9</f>
        <v>362.4</v>
      </c>
      <c r="J9" s="17">
        <v>273</v>
      </c>
      <c r="K9" s="17">
        <f t="shared" si="10"/>
        <v>181.6</v>
      </c>
      <c r="L9" s="19">
        <f t="shared" ref="L9" si="20">J9-K9</f>
        <v>91.4</v>
      </c>
      <c r="M9" s="17">
        <f t="shared" si="12"/>
        <v>1</v>
      </c>
      <c r="N9" s="19">
        <f t="shared" ref="N9" si="21">L9*M9</f>
        <v>91.4</v>
      </c>
      <c r="O9" s="12">
        <f t="shared" ref="O9:O16" si="22">SUM(O7)</f>
        <v>-182.79999999999998</v>
      </c>
      <c r="P9" s="17">
        <v>560</v>
      </c>
      <c r="Q9" s="17">
        <f t="shared" si="14"/>
        <v>371.8</v>
      </c>
      <c r="R9" s="19">
        <f t="shared" ref="R9" si="23">P9-Q9</f>
        <v>188.2</v>
      </c>
      <c r="S9" s="17">
        <f t="shared" si="16"/>
        <v>1</v>
      </c>
      <c r="T9" s="19">
        <f t="shared" ref="T9" si="24">R9*S9</f>
        <v>188.2</v>
      </c>
      <c r="U9" s="17"/>
      <c r="V9" s="17"/>
      <c r="W9" s="25"/>
    </row>
    <row r="10" spans="1:23" ht="15.75" x14ac:dyDescent="0.25">
      <c r="A10" s="12">
        <v>4</v>
      </c>
      <c r="B10" s="22" t="s">
        <v>244</v>
      </c>
      <c r="C10" s="19" t="s">
        <v>32</v>
      </c>
      <c r="D10" s="19" t="s">
        <v>124</v>
      </c>
      <c r="E10" s="17">
        <v>1325.8</v>
      </c>
      <c r="F10" s="17">
        <f t="shared" si="6"/>
        <v>960</v>
      </c>
      <c r="G10" s="19">
        <f t="shared" ref="G10" si="25">E10-F10</f>
        <v>365.79999999999995</v>
      </c>
      <c r="H10" s="17">
        <f t="shared" si="8"/>
        <v>1</v>
      </c>
      <c r="I10" s="19">
        <f t="shared" ref="I10" si="26">G10*H10</f>
        <v>365.79999999999995</v>
      </c>
      <c r="J10" s="17">
        <v>378.1</v>
      </c>
      <c r="K10" s="17">
        <f t="shared" si="10"/>
        <v>273</v>
      </c>
      <c r="L10" s="19">
        <f t="shared" ref="L10" si="27">J10-K10</f>
        <v>105.10000000000002</v>
      </c>
      <c r="M10" s="17">
        <f t="shared" si="12"/>
        <v>1</v>
      </c>
      <c r="N10" s="19">
        <f t="shared" ref="N10" si="28">L10*M10</f>
        <v>105.10000000000002</v>
      </c>
      <c r="O10" s="12">
        <f t="shared" si="22"/>
        <v>-233.20000000000002</v>
      </c>
      <c r="P10" s="17">
        <v>780.2</v>
      </c>
      <c r="Q10" s="17">
        <f t="shared" si="14"/>
        <v>560</v>
      </c>
      <c r="R10" s="19">
        <f t="shared" ref="R10" si="29">P10-Q10</f>
        <v>220.20000000000005</v>
      </c>
      <c r="S10" s="17">
        <f t="shared" si="16"/>
        <v>1</v>
      </c>
      <c r="T10" s="19">
        <f t="shared" ref="T10" si="30">R10*S10</f>
        <v>220.20000000000005</v>
      </c>
      <c r="U10" s="17">
        <v>2.44</v>
      </c>
      <c r="V10" s="17">
        <v>0.9</v>
      </c>
      <c r="W10" s="25"/>
    </row>
    <row r="11" spans="1:23" ht="15.75" x14ac:dyDescent="0.25">
      <c r="A11" s="12">
        <v>5</v>
      </c>
      <c r="B11" s="22" t="s">
        <v>245</v>
      </c>
      <c r="C11" s="19" t="s">
        <v>32</v>
      </c>
      <c r="D11" s="19" t="s">
        <v>124</v>
      </c>
      <c r="E11" s="17">
        <v>1535.8</v>
      </c>
      <c r="F11" s="17">
        <f t="shared" si="6"/>
        <v>1325.8</v>
      </c>
      <c r="G11" s="19">
        <f t="shared" ref="G11" si="31">E11-F11</f>
        <v>210</v>
      </c>
      <c r="H11" s="17">
        <f t="shared" si="8"/>
        <v>1</v>
      </c>
      <c r="I11" s="19">
        <f t="shared" ref="I11" si="32">G11*H11</f>
        <v>210</v>
      </c>
      <c r="J11" s="17">
        <v>498.6</v>
      </c>
      <c r="K11" s="17">
        <f t="shared" si="10"/>
        <v>378.1</v>
      </c>
      <c r="L11" s="19">
        <f t="shared" ref="L11" si="33">J11-K11</f>
        <v>120.5</v>
      </c>
      <c r="M11" s="17">
        <f t="shared" si="12"/>
        <v>1</v>
      </c>
      <c r="N11" s="19">
        <f t="shared" ref="N11" si="34">L11*M11</f>
        <v>120.5</v>
      </c>
      <c r="O11" s="12">
        <f t="shared" si="22"/>
        <v>-182.79999999999998</v>
      </c>
      <c r="P11" s="17">
        <v>1002.8</v>
      </c>
      <c r="Q11" s="17">
        <f t="shared" si="14"/>
        <v>780.2</v>
      </c>
      <c r="R11" s="19">
        <f t="shared" ref="R11" si="35">P11-Q11</f>
        <v>222.59999999999991</v>
      </c>
      <c r="S11" s="17">
        <f t="shared" si="16"/>
        <v>1</v>
      </c>
      <c r="T11" s="19">
        <f t="shared" ref="T11" si="36">R11*S11</f>
        <v>222.59999999999991</v>
      </c>
      <c r="U11" s="17">
        <v>2.2000000000000002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32</v>
      </c>
      <c r="D12" s="19" t="s">
        <v>124</v>
      </c>
      <c r="E12" s="12">
        <v>1879.9</v>
      </c>
      <c r="F12" s="17">
        <f t="shared" si="6"/>
        <v>1535.8</v>
      </c>
      <c r="G12" s="19">
        <f t="shared" ref="G12" si="37">E12-F12</f>
        <v>344.10000000000014</v>
      </c>
      <c r="H12" s="17">
        <f t="shared" si="8"/>
        <v>1</v>
      </c>
      <c r="I12" s="19">
        <f t="shared" ref="I12" si="38">G12*H12</f>
        <v>344.10000000000014</v>
      </c>
      <c r="J12" s="12">
        <v>629.4</v>
      </c>
      <c r="K12" s="17">
        <f t="shared" si="10"/>
        <v>498.6</v>
      </c>
      <c r="L12" s="19">
        <f t="shared" ref="L12" si="39">J12-K12</f>
        <v>130.79999999999995</v>
      </c>
      <c r="M12" s="17">
        <f t="shared" si="12"/>
        <v>1</v>
      </c>
      <c r="N12" s="19">
        <f t="shared" ref="N12" si="40">L12*M12</f>
        <v>130.79999999999995</v>
      </c>
      <c r="O12" s="12">
        <f t="shared" si="22"/>
        <v>-233.20000000000002</v>
      </c>
      <c r="P12" s="17">
        <v>1262.0999999999999</v>
      </c>
      <c r="Q12" s="17">
        <f t="shared" si="14"/>
        <v>1002.8</v>
      </c>
      <c r="R12" s="19">
        <f t="shared" ref="R12" si="41">P12-Q12</f>
        <v>259.29999999999995</v>
      </c>
      <c r="S12" s="17">
        <f t="shared" si="16"/>
        <v>1</v>
      </c>
      <c r="T12" s="19">
        <f t="shared" ref="T12" si="42">R12*S12</f>
        <v>259.29999999999995</v>
      </c>
      <c r="U12" s="19">
        <v>2.46</v>
      </c>
      <c r="V12" s="19">
        <v>0.43</v>
      </c>
      <c r="W12" s="25"/>
    </row>
    <row r="13" spans="1:23" ht="15.75" x14ac:dyDescent="0.25">
      <c r="A13" s="12">
        <v>7</v>
      </c>
      <c r="B13" s="22" t="s">
        <v>252</v>
      </c>
      <c r="C13" s="19" t="s">
        <v>32</v>
      </c>
      <c r="D13" s="19" t="s">
        <v>124</v>
      </c>
      <c r="E13" s="12">
        <v>2252</v>
      </c>
      <c r="F13" s="17">
        <f t="shared" si="6"/>
        <v>1879.9</v>
      </c>
      <c r="G13" s="19">
        <f t="shared" ref="G13" si="43">E13-F13</f>
        <v>372.09999999999991</v>
      </c>
      <c r="H13" s="17">
        <f t="shared" si="8"/>
        <v>1</v>
      </c>
      <c r="I13" s="19">
        <f t="shared" ref="I13" si="44">G13*H13</f>
        <v>372.09999999999991</v>
      </c>
      <c r="J13" s="12">
        <v>763</v>
      </c>
      <c r="K13" s="17">
        <f t="shared" si="10"/>
        <v>629.4</v>
      </c>
      <c r="L13" s="19">
        <f t="shared" ref="L13" si="45">J13-K13</f>
        <v>133.60000000000002</v>
      </c>
      <c r="M13" s="17">
        <f t="shared" si="12"/>
        <v>1</v>
      </c>
      <c r="N13" s="19">
        <f t="shared" ref="N13" si="46">L13*M13</f>
        <v>133.60000000000002</v>
      </c>
      <c r="O13" s="12">
        <f t="shared" si="22"/>
        <v>-182.79999999999998</v>
      </c>
      <c r="P13" s="12">
        <v>1523</v>
      </c>
      <c r="Q13" s="17">
        <f t="shared" si="14"/>
        <v>1262.0999999999999</v>
      </c>
      <c r="R13" s="19">
        <f t="shared" ref="R13" si="47">P13-Q13</f>
        <v>260.90000000000009</v>
      </c>
      <c r="S13" s="17">
        <f t="shared" si="16"/>
        <v>1</v>
      </c>
      <c r="T13" s="19">
        <f t="shared" ref="T13" si="48">R13*S13</f>
        <v>260.90000000000009</v>
      </c>
      <c r="U13" s="19">
        <v>2.8</v>
      </c>
      <c r="V13" s="19">
        <v>0.9</v>
      </c>
      <c r="W13" s="25"/>
    </row>
    <row r="14" spans="1:23" ht="15.75" x14ac:dyDescent="0.25">
      <c r="A14" s="12">
        <v>8</v>
      </c>
      <c r="B14" s="22" t="s">
        <v>253</v>
      </c>
      <c r="C14" s="19" t="s">
        <v>32</v>
      </c>
      <c r="D14" s="19" t="s">
        <v>124</v>
      </c>
      <c r="E14" s="12">
        <v>2709.8</v>
      </c>
      <c r="F14" s="17">
        <f t="shared" ref="F14" si="49">E13</f>
        <v>2252</v>
      </c>
      <c r="G14" s="19">
        <f t="shared" ref="G14" si="50">E14-F14</f>
        <v>457.80000000000018</v>
      </c>
      <c r="H14" s="17">
        <f t="shared" si="8"/>
        <v>1</v>
      </c>
      <c r="I14" s="19">
        <f t="shared" ref="I14" si="51">G14*H14</f>
        <v>457.80000000000018</v>
      </c>
      <c r="J14" s="12">
        <v>936.3</v>
      </c>
      <c r="K14" s="17">
        <f t="shared" ref="K14" si="52">J13</f>
        <v>763</v>
      </c>
      <c r="L14" s="19">
        <f t="shared" ref="L14" si="53">J14-K14</f>
        <v>173.29999999999995</v>
      </c>
      <c r="M14" s="17">
        <f t="shared" si="12"/>
        <v>1</v>
      </c>
      <c r="N14" s="19">
        <f t="shared" ref="N14" si="54">L14*M14</f>
        <v>173.29999999999995</v>
      </c>
      <c r="O14" s="12">
        <f t="shared" si="22"/>
        <v>-233.20000000000002</v>
      </c>
      <c r="P14" s="12">
        <v>1844</v>
      </c>
      <c r="Q14" s="17">
        <f t="shared" ref="Q14" si="55">P13</f>
        <v>1523</v>
      </c>
      <c r="R14" s="19">
        <f t="shared" ref="R14" si="56">P14-Q14</f>
        <v>321</v>
      </c>
      <c r="S14" s="17">
        <f t="shared" si="16"/>
        <v>1</v>
      </c>
      <c r="T14" s="19">
        <f t="shared" ref="T14" si="57">R14*S14</f>
        <v>321</v>
      </c>
      <c r="U14" s="19">
        <v>2.4300000000000002</v>
      </c>
      <c r="V14" s="19">
        <v>0.19</v>
      </c>
      <c r="W14" s="25"/>
    </row>
    <row r="15" spans="1:23" ht="15.75" x14ac:dyDescent="0.25">
      <c r="A15" s="12">
        <v>9</v>
      </c>
      <c r="B15" s="22" t="s">
        <v>254</v>
      </c>
      <c r="C15" s="19" t="s">
        <v>32</v>
      </c>
      <c r="D15" s="19" t="s">
        <v>124</v>
      </c>
      <c r="E15" s="12">
        <v>3029.8</v>
      </c>
      <c r="F15" s="17">
        <f t="shared" ref="F15" si="58">E14</f>
        <v>2709.8</v>
      </c>
      <c r="G15" s="19">
        <f t="shared" ref="G15" si="59">E15-F15</f>
        <v>320</v>
      </c>
      <c r="H15" s="17">
        <f t="shared" si="8"/>
        <v>1</v>
      </c>
      <c r="I15" s="19">
        <f t="shared" ref="I15" si="60">G15*H15</f>
        <v>320</v>
      </c>
      <c r="J15" s="12">
        <v>1109.3</v>
      </c>
      <c r="K15" s="17">
        <f t="shared" ref="K15" si="61">J14</f>
        <v>936.3</v>
      </c>
      <c r="L15" s="19">
        <f t="shared" ref="L15" si="62">J15-K15</f>
        <v>173</v>
      </c>
      <c r="M15" s="17">
        <f t="shared" si="12"/>
        <v>1</v>
      </c>
      <c r="N15" s="19">
        <f t="shared" ref="N15" si="63">L15*M15</f>
        <v>173</v>
      </c>
      <c r="O15" s="12">
        <f t="shared" si="22"/>
        <v>-182.79999999999998</v>
      </c>
      <c r="P15" s="12">
        <v>2149.6</v>
      </c>
      <c r="Q15" s="17">
        <f t="shared" ref="Q15" si="64">P14</f>
        <v>1844</v>
      </c>
      <c r="R15" s="19">
        <f t="shared" ref="R15" si="65">P15-Q15</f>
        <v>305.59999999999991</v>
      </c>
      <c r="S15" s="17">
        <f t="shared" si="16"/>
        <v>1</v>
      </c>
      <c r="T15" s="19">
        <f t="shared" ref="T15" si="66">R15*S15</f>
        <v>305.59999999999991</v>
      </c>
      <c r="U15" s="19">
        <v>2.2799999999999998</v>
      </c>
      <c r="V15" s="19">
        <v>0.96</v>
      </c>
      <c r="W15" s="25"/>
    </row>
    <row r="16" spans="1:23" ht="15.75" x14ac:dyDescent="0.25">
      <c r="A16" s="12">
        <v>10</v>
      </c>
      <c r="B16" s="22" t="s">
        <v>258</v>
      </c>
      <c r="C16" s="19" t="s">
        <v>32</v>
      </c>
      <c r="D16" s="19" t="s">
        <v>124</v>
      </c>
      <c r="E16" s="12">
        <f>E15+212</f>
        <v>3241.8</v>
      </c>
      <c r="F16" s="17">
        <f t="shared" ref="F16" si="67">E15</f>
        <v>3029.8</v>
      </c>
      <c r="G16" s="19">
        <f t="shared" ref="G16" si="68">E16-F16</f>
        <v>212</v>
      </c>
      <c r="H16" s="17">
        <f t="shared" si="8"/>
        <v>1</v>
      </c>
      <c r="I16" s="19">
        <f t="shared" ref="I16" si="69">G16*H16</f>
        <v>212</v>
      </c>
      <c r="J16" s="12">
        <f>J15+255</f>
        <v>1364.3</v>
      </c>
      <c r="K16" s="17">
        <f t="shared" ref="K16" si="70">J15</f>
        <v>1109.3</v>
      </c>
      <c r="L16" s="19">
        <f t="shared" ref="L16" si="71">J16-K16</f>
        <v>255</v>
      </c>
      <c r="M16" s="17">
        <f t="shared" si="12"/>
        <v>1</v>
      </c>
      <c r="N16" s="19">
        <f t="shared" ref="N16" si="72">L16*M16</f>
        <v>255</v>
      </c>
      <c r="O16" s="12">
        <f t="shared" si="22"/>
        <v>-233.20000000000002</v>
      </c>
      <c r="P16" s="12">
        <f>P15+389</f>
        <v>2538.6</v>
      </c>
      <c r="Q16" s="17">
        <f t="shared" ref="Q16" si="73">P15</f>
        <v>2149.6</v>
      </c>
      <c r="R16" s="19">
        <f t="shared" ref="R16" si="74">P16-Q16</f>
        <v>389</v>
      </c>
      <c r="S16" s="17">
        <f t="shared" si="16"/>
        <v>1</v>
      </c>
      <c r="T16" s="19">
        <f t="shared" ref="T16" si="75">R16*S16</f>
        <v>389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17" t="s">
        <v>121</v>
      </c>
      <c r="I17" s="12">
        <f>SUM(I7:I16)</f>
        <v>3241.7</v>
      </c>
      <c r="J17" s="12"/>
      <c r="K17" s="17"/>
      <c r="L17" s="12"/>
      <c r="M17" s="17"/>
      <c r="N17" s="12">
        <f t="shared" ref="N17:O17" si="76">SUM(N7:N16)</f>
        <v>1364.1999999999998</v>
      </c>
      <c r="O17" s="12">
        <f t="shared" si="76"/>
        <v>-2080</v>
      </c>
      <c r="P17" s="12"/>
      <c r="Q17" s="17"/>
      <c r="R17" s="12"/>
      <c r="S17" s="17"/>
      <c r="T17" s="12">
        <f>SUM(T7:T16)</f>
        <v>2538.6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201</v>
      </c>
      <c r="D18" s="19" t="s">
        <v>124</v>
      </c>
      <c r="E18" s="12">
        <v>3429.2</v>
      </c>
      <c r="F18" s="17">
        <f>E16</f>
        <v>3241.8</v>
      </c>
      <c r="G18" s="19">
        <f t="shared" ref="G18" si="77">E18-F18</f>
        <v>187.39999999999964</v>
      </c>
      <c r="H18" s="91">
        <v>1</v>
      </c>
      <c r="I18" s="19">
        <f t="shared" ref="I18" si="78">G18*H18</f>
        <v>187.39999999999964</v>
      </c>
      <c r="J18" s="12">
        <v>1612</v>
      </c>
      <c r="K18" s="17">
        <f>J16</f>
        <v>1364.3</v>
      </c>
      <c r="L18" s="19">
        <f t="shared" ref="L18" si="79">J18-K18</f>
        <v>247.70000000000005</v>
      </c>
      <c r="M18" s="17">
        <f>M16</f>
        <v>1</v>
      </c>
      <c r="N18" s="19">
        <f t="shared" ref="N18" si="80">L18*M18</f>
        <v>247.70000000000005</v>
      </c>
      <c r="O18" s="17">
        <f t="shared" ref="O18" si="81">N18-I18</f>
        <v>60.300000000000409</v>
      </c>
      <c r="P18" s="12">
        <v>2907.2</v>
      </c>
      <c r="Q18" s="17">
        <f>P16</f>
        <v>2538.6</v>
      </c>
      <c r="R18" s="19">
        <f t="shared" ref="R18" si="82">P18-Q18</f>
        <v>368.59999999999991</v>
      </c>
      <c r="S18" s="17">
        <f>S16</f>
        <v>1</v>
      </c>
      <c r="T18" s="19">
        <f t="shared" ref="T18" si="83">R18*S18</f>
        <v>368.59999999999991</v>
      </c>
      <c r="U18" s="12"/>
      <c r="V18" s="12">
        <v>0.65</v>
      </c>
      <c r="W18" s="25"/>
    </row>
    <row r="19" spans="1:23" ht="15.75" x14ac:dyDescent="0.25">
      <c r="A19" s="12">
        <v>12</v>
      </c>
      <c r="B19" s="22" t="s">
        <v>263</v>
      </c>
      <c r="C19" s="19" t="s">
        <v>201</v>
      </c>
      <c r="D19" s="19" t="s">
        <v>124</v>
      </c>
      <c r="E19" s="12">
        <v>3685.4</v>
      </c>
      <c r="F19" s="17">
        <f t="shared" ref="F19:F24" si="84">E18</f>
        <v>3429.2</v>
      </c>
      <c r="G19" s="19">
        <f t="shared" ref="G19" si="85">E19-F19</f>
        <v>256.20000000000027</v>
      </c>
      <c r="H19" s="91">
        <v>1</v>
      </c>
      <c r="I19" s="19">
        <f t="shared" ref="I19" si="86">G19*H19</f>
        <v>256.20000000000027</v>
      </c>
      <c r="J19" s="12">
        <v>1772.2</v>
      </c>
      <c r="K19" s="17">
        <f t="shared" ref="K19:K24" si="87">J18</f>
        <v>1612</v>
      </c>
      <c r="L19" s="19">
        <f t="shared" ref="L19" si="88">J19-K19</f>
        <v>160.20000000000005</v>
      </c>
      <c r="M19" s="17">
        <f t="shared" ref="M19:M59" si="89">M18</f>
        <v>1</v>
      </c>
      <c r="N19" s="19">
        <f t="shared" ref="N19" si="90">L19*M19</f>
        <v>160.20000000000005</v>
      </c>
      <c r="O19" s="17">
        <f t="shared" ref="O19" si="91">N19-I19</f>
        <v>-96.000000000000227</v>
      </c>
      <c r="P19" s="12">
        <v>3244.3</v>
      </c>
      <c r="Q19" s="17">
        <f t="shared" ref="Q19:Q24" si="92">P18</f>
        <v>2907.2</v>
      </c>
      <c r="R19" s="19">
        <f t="shared" ref="R19" si="93">P19-Q19</f>
        <v>337.10000000000036</v>
      </c>
      <c r="S19" s="17">
        <f t="shared" ref="S19:S59" si="94">S18</f>
        <v>1</v>
      </c>
      <c r="T19" s="19">
        <f t="shared" ref="T19" si="95">R19*S19</f>
        <v>337.10000000000036</v>
      </c>
      <c r="U19" s="12">
        <v>2.21</v>
      </c>
      <c r="V19" s="12">
        <v>0.76</v>
      </c>
      <c r="W19" s="25"/>
    </row>
    <row r="20" spans="1:23" ht="15.75" x14ac:dyDescent="0.25">
      <c r="A20" s="12">
        <v>13</v>
      </c>
      <c r="B20" s="22" t="s">
        <v>265</v>
      </c>
      <c r="C20" s="19" t="s">
        <v>201</v>
      </c>
      <c r="D20" s="19" t="s">
        <v>124</v>
      </c>
      <c r="E20" s="12">
        <v>3882.5</v>
      </c>
      <c r="F20" s="17">
        <f t="shared" si="84"/>
        <v>3685.4</v>
      </c>
      <c r="G20" s="19">
        <f t="shared" ref="G20" si="96">E20-F20</f>
        <v>197.09999999999991</v>
      </c>
      <c r="H20" s="91">
        <v>1</v>
      </c>
      <c r="I20" s="19">
        <f>G20*H20</f>
        <v>197.09999999999991</v>
      </c>
      <c r="J20" s="12">
        <v>1893.5</v>
      </c>
      <c r="K20" s="17">
        <f t="shared" si="87"/>
        <v>1772.2</v>
      </c>
      <c r="L20" s="19">
        <f t="shared" ref="L20" si="97">J20-K20</f>
        <v>121.29999999999995</v>
      </c>
      <c r="M20" s="17">
        <f t="shared" si="89"/>
        <v>1</v>
      </c>
      <c r="N20" s="19">
        <f t="shared" ref="N20" si="98">L20*M20</f>
        <v>121.29999999999995</v>
      </c>
      <c r="O20" s="17">
        <f t="shared" ref="O20" si="99">N20-I20</f>
        <v>-75.799999999999955</v>
      </c>
      <c r="P20" s="12">
        <v>3479.9</v>
      </c>
      <c r="Q20" s="17">
        <f t="shared" si="92"/>
        <v>3244.3</v>
      </c>
      <c r="R20" s="19">
        <f t="shared" ref="R20" si="100">P20-Q20</f>
        <v>235.59999999999991</v>
      </c>
      <c r="S20" s="17">
        <f t="shared" si="94"/>
        <v>1</v>
      </c>
      <c r="T20" s="19">
        <f t="shared" ref="T20" si="101">R20*S20</f>
        <v>235.59999999999991</v>
      </c>
      <c r="U20" s="19">
        <v>2.38</v>
      </c>
      <c r="V20" s="19">
        <v>0.92</v>
      </c>
      <c r="W20" s="25"/>
    </row>
    <row r="21" spans="1:23" ht="15.75" x14ac:dyDescent="0.25">
      <c r="A21" s="12">
        <v>14</v>
      </c>
      <c r="B21" s="22" t="s">
        <v>266</v>
      </c>
      <c r="C21" s="19" t="s">
        <v>201</v>
      </c>
      <c r="D21" s="19" t="s">
        <v>124</v>
      </c>
      <c r="E21" s="12">
        <v>4101.7</v>
      </c>
      <c r="F21" s="17">
        <f t="shared" si="84"/>
        <v>3882.5</v>
      </c>
      <c r="G21" s="19">
        <f t="shared" ref="G21" si="102">E21-F21</f>
        <v>219.19999999999982</v>
      </c>
      <c r="H21" s="91">
        <v>1</v>
      </c>
      <c r="I21" s="19">
        <f>G21*H21</f>
        <v>219.19999999999982</v>
      </c>
      <c r="J21" s="12">
        <v>2020.7</v>
      </c>
      <c r="K21" s="17">
        <f t="shared" si="87"/>
        <v>1893.5</v>
      </c>
      <c r="L21" s="19">
        <f t="shared" ref="L21" si="103">J21-K21</f>
        <v>127.20000000000005</v>
      </c>
      <c r="M21" s="17">
        <f t="shared" si="89"/>
        <v>1</v>
      </c>
      <c r="N21" s="19">
        <f t="shared" ref="N21" si="104">L21*M21</f>
        <v>127.20000000000005</v>
      </c>
      <c r="O21" s="17">
        <f t="shared" ref="O21:O22" si="105">N21-I21</f>
        <v>-91.999999999999773</v>
      </c>
      <c r="P21" s="12">
        <v>3764.2</v>
      </c>
      <c r="Q21" s="17">
        <f t="shared" si="92"/>
        <v>3479.9</v>
      </c>
      <c r="R21" s="19">
        <f t="shared" ref="R21" si="106">P21-Q21</f>
        <v>284.29999999999973</v>
      </c>
      <c r="S21" s="17">
        <f t="shared" si="94"/>
        <v>1</v>
      </c>
      <c r="T21" s="19">
        <f t="shared" ref="T21" si="107">R21*S21</f>
        <v>284.29999999999973</v>
      </c>
      <c r="U21" s="19">
        <v>2.12</v>
      </c>
      <c r="V21" s="19"/>
      <c r="W21" s="25"/>
    </row>
    <row r="22" spans="1:23" ht="15.75" x14ac:dyDescent="0.25">
      <c r="A22" s="12">
        <v>15</v>
      </c>
      <c r="B22" s="22" t="s">
        <v>267</v>
      </c>
      <c r="C22" s="19" t="s">
        <v>201</v>
      </c>
      <c r="D22" s="19" t="s">
        <v>124</v>
      </c>
      <c r="E22" s="12">
        <v>4302.7</v>
      </c>
      <c r="F22" s="17">
        <f t="shared" si="84"/>
        <v>4101.7</v>
      </c>
      <c r="G22" s="19">
        <f t="shared" ref="G22" si="108">E22-F22</f>
        <v>201</v>
      </c>
      <c r="H22" s="91">
        <v>1</v>
      </c>
      <c r="I22" s="19">
        <f t="shared" ref="I22" si="109">G22*H22</f>
        <v>201</v>
      </c>
      <c r="J22" s="12">
        <v>2151.1</v>
      </c>
      <c r="K22" s="17">
        <f t="shared" si="87"/>
        <v>2020.7</v>
      </c>
      <c r="L22" s="19">
        <f t="shared" ref="L22" si="110">J22-K22</f>
        <v>130.39999999999986</v>
      </c>
      <c r="M22" s="17">
        <f t="shared" si="89"/>
        <v>1</v>
      </c>
      <c r="N22" s="19">
        <f t="shared" ref="N22" si="111">L22*M22</f>
        <v>130.39999999999986</v>
      </c>
      <c r="O22" s="17">
        <f t="shared" si="105"/>
        <v>-70.600000000000136</v>
      </c>
      <c r="P22" s="12">
        <v>4021</v>
      </c>
      <c r="Q22" s="17">
        <f t="shared" si="92"/>
        <v>3764.2</v>
      </c>
      <c r="R22" s="19">
        <f t="shared" ref="R22" si="112">P22-Q22</f>
        <v>256.80000000000018</v>
      </c>
      <c r="S22" s="17">
        <f t="shared" si="94"/>
        <v>1</v>
      </c>
      <c r="T22" s="19">
        <f t="shared" ref="T22" si="113">R22*S22</f>
        <v>256.80000000000018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201</v>
      </c>
      <c r="D23" s="19" t="s">
        <v>124</v>
      </c>
      <c r="E23" s="12">
        <v>4508.7</v>
      </c>
      <c r="F23" s="17">
        <f t="shared" si="84"/>
        <v>4302.7</v>
      </c>
      <c r="G23" s="19">
        <f t="shared" ref="G23" si="114">E23-F23</f>
        <v>206</v>
      </c>
      <c r="H23" s="91">
        <v>1</v>
      </c>
      <c r="I23" s="19">
        <f t="shared" ref="I23" si="115">G23*H23</f>
        <v>206</v>
      </c>
      <c r="J23" s="12">
        <v>2302.1</v>
      </c>
      <c r="K23" s="17">
        <f t="shared" si="87"/>
        <v>2151.1</v>
      </c>
      <c r="L23" s="19">
        <f t="shared" ref="L23" si="116">J23-K23</f>
        <v>151</v>
      </c>
      <c r="M23" s="17">
        <f t="shared" si="89"/>
        <v>1</v>
      </c>
      <c r="N23" s="19">
        <f t="shared" ref="N23" si="117">L23*M23</f>
        <v>151</v>
      </c>
      <c r="O23" s="17">
        <f t="shared" ref="O23" si="118">N23-I23</f>
        <v>-55</v>
      </c>
      <c r="P23" s="12">
        <v>4265.2</v>
      </c>
      <c r="Q23" s="17">
        <f t="shared" si="92"/>
        <v>4021</v>
      </c>
      <c r="R23" s="19">
        <f t="shared" ref="R23" si="119">P23-Q23</f>
        <v>244.19999999999982</v>
      </c>
      <c r="S23" s="17">
        <f t="shared" si="94"/>
        <v>1</v>
      </c>
      <c r="T23" s="19">
        <f t="shared" ref="T23" si="120">R23*S23</f>
        <v>244.19999999999982</v>
      </c>
      <c r="U23" s="19">
        <v>2.5299999999999998</v>
      </c>
      <c r="V23" s="19">
        <v>0.98</v>
      </c>
      <c r="W23" s="25"/>
    </row>
    <row r="24" spans="1:23" ht="15.75" x14ac:dyDescent="0.25">
      <c r="A24" s="12">
        <v>17</v>
      </c>
      <c r="B24" s="22" t="s">
        <v>272</v>
      </c>
      <c r="C24" s="19" t="s">
        <v>201</v>
      </c>
      <c r="D24" s="19" t="s">
        <v>124</v>
      </c>
      <c r="E24" s="12">
        <v>4685.3</v>
      </c>
      <c r="F24" s="17">
        <f t="shared" si="84"/>
        <v>4508.7</v>
      </c>
      <c r="G24" s="19">
        <f t="shared" ref="G24" si="121">E24-F24</f>
        <v>176.60000000000036</v>
      </c>
      <c r="H24" s="91">
        <v>1</v>
      </c>
      <c r="I24" s="19">
        <f t="shared" ref="I24" si="122">G24*H24</f>
        <v>176.60000000000036</v>
      </c>
      <c r="J24" s="12">
        <v>2480.4</v>
      </c>
      <c r="K24" s="17">
        <f t="shared" si="87"/>
        <v>2302.1</v>
      </c>
      <c r="L24" s="19">
        <f t="shared" ref="L24" si="123">J24-K24</f>
        <v>178.30000000000018</v>
      </c>
      <c r="M24" s="17">
        <f t="shared" si="89"/>
        <v>1</v>
      </c>
      <c r="N24" s="19">
        <f t="shared" ref="N24" si="124">L24*M24</f>
        <v>178.30000000000018</v>
      </c>
      <c r="O24" s="17">
        <f t="shared" ref="O24" si="125">N24-I24</f>
        <v>1.6999999999998181</v>
      </c>
      <c r="P24" s="12">
        <v>4581.1000000000004</v>
      </c>
      <c r="Q24" s="17">
        <f t="shared" si="92"/>
        <v>4265.2</v>
      </c>
      <c r="R24" s="19">
        <f t="shared" ref="R24" si="126">P24-Q24</f>
        <v>315.90000000000055</v>
      </c>
      <c r="S24" s="17">
        <f t="shared" si="94"/>
        <v>1</v>
      </c>
      <c r="T24" s="19">
        <f t="shared" ref="T24" si="127">R24*S24</f>
        <v>315.90000000000055</v>
      </c>
      <c r="U24" s="19">
        <v>1.87</v>
      </c>
      <c r="V24" s="19">
        <v>0.97</v>
      </c>
      <c r="W24" s="25"/>
    </row>
    <row r="25" spans="1:23" ht="15.75" x14ac:dyDescent="0.25">
      <c r="A25" s="12">
        <v>18</v>
      </c>
      <c r="B25" s="22" t="s">
        <v>274</v>
      </c>
      <c r="C25" s="19" t="s">
        <v>201</v>
      </c>
      <c r="D25" s="19" t="s">
        <v>124</v>
      </c>
      <c r="E25" s="12">
        <v>4929.1000000000004</v>
      </c>
      <c r="F25" s="17">
        <f t="shared" ref="F25" si="128">E24</f>
        <v>4685.3</v>
      </c>
      <c r="G25" s="19">
        <f t="shared" ref="G25" si="129">E25-F25</f>
        <v>243.80000000000018</v>
      </c>
      <c r="H25" s="91">
        <v>1</v>
      </c>
      <c r="I25" s="19">
        <f t="shared" ref="I25" si="130">G25*H25</f>
        <v>243.80000000000018</v>
      </c>
      <c r="J25" s="12">
        <v>2604</v>
      </c>
      <c r="K25" s="17">
        <f t="shared" ref="K25" si="131">J24</f>
        <v>2480.4</v>
      </c>
      <c r="L25" s="19">
        <f t="shared" ref="L25" si="132">J25-K25</f>
        <v>123.59999999999991</v>
      </c>
      <c r="M25" s="17">
        <f t="shared" si="89"/>
        <v>1</v>
      </c>
      <c r="N25" s="19">
        <f t="shared" ref="N25" si="133">L25*M25</f>
        <v>123.59999999999991</v>
      </c>
      <c r="O25" s="17">
        <f t="shared" ref="O25" si="134">N25-I25</f>
        <v>-120.20000000000027</v>
      </c>
      <c r="P25" s="12">
        <v>4857.2</v>
      </c>
      <c r="Q25" s="17">
        <f t="shared" ref="Q25" si="135">P24</f>
        <v>4581.1000000000004</v>
      </c>
      <c r="R25" s="19">
        <f t="shared" ref="R25" si="136">P25-Q25</f>
        <v>276.09999999999945</v>
      </c>
      <c r="S25" s="17">
        <f t="shared" si="94"/>
        <v>1</v>
      </c>
      <c r="T25" s="19">
        <f t="shared" ref="T25" si="137">R25*S25</f>
        <v>276.09999999999945</v>
      </c>
      <c r="U25" s="19">
        <v>2.48</v>
      </c>
      <c r="V25" s="19">
        <v>0.97</v>
      </c>
      <c r="W25" s="25"/>
    </row>
    <row r="26" spans="1:23" ht="15.75" x14ac:dyDescent="0.25">
      <c r="A26" s="12">
        <v>19</v>
      </c>
      <c r="B26" s="22" t="s">
        <v>276</v>
      </c>
      <c r="C26" s="19" t="s">
        <v>201</v>
      </c>
      <c r="D26" s="19" t="s">
        <v>124</v>
      </c>
      <c r="E26" s="12">
        <v>5155.6000000000004</v>
      </c>
      <c r="F26" s="17">
        <f t="shared" ref="F26" si="138">E25</f>
        <v>4929.1000000000004</v>
      </c>
      <c r="G26" s="19">
        <f t="shared" ref="G26" si="139">E26-F26</f>
        <v>226.5</v>
      </c>
      <c r="H26" s="91">
        <v>1</v>
      </c>
      <c r="I26" s="19">
        <f t="shared" ref="I26" si="140">G26*H26</f>
        <v>226.5</v>
      </c>
      <c r="J26" s="12">
        <v>2739.7</v>
      </c>
      <c r="K26" s="17">
        <f t="shared" ref="K26" si="141">J25</f>
        <v>2604</v>
      </c>
      <c r="L26" s="19">
        <f t="shared" ref="L26" si="142">J26-K26</f>
        <v>135.69999999999982</v>
      </c>
      <c r="M26" s="17">
        <f t="shared" si="89"/>
        <v>1</v>
      </c>
      <c r="N26" s="19">
        <f t="shared" ref="N26" si="143">L26*M26</f>
        <v>135.69999999999982</v>
      </c>
      <c r="O26" s="17">
        <f t="shared" ref="O26" si="144">N26-I26</f>
        <v>-90.800000000000182</v>
      </c>
      <c r="P26" s="12">
        <v>5126.7</v>
      </c>
      <c r="Q26" s="17">
        <f t="shared" ref="Q26" si="145">P25</f>
        <v>4857.2</v>
      </c>
      <c r="R26" s="19">
        <f t="shared" ref="R26" si="146">P26-Q26</f>
        <v>269.5</v>
      </c>
      <c r="S26" s="17">
        <f t="shared" si="94"/>
        <v>1</v>
      </c>
      <c r="T26" s="19">
        <f t="shared" ref="T26" si="147">R26*S26</f>
        <v>269.5</v>
      </c>
      <c r="U26" s="19">
        <v>2.13</v>
      </c>
      <c r="V26" s="19">
        <v>0.92</v>
      </c>
      <c r="W26" s="25"/>
    </row>
    <row r="27" spans="1:23" ht="15.75" x14ac:dyDescent="0.25">
      <c r="A27" s="12">
        <v>20</v>
      </c>
      <c r="B27" s="22" t="s">
        <v>262</v>
      </c>
      <c r="C27" s="19" t="s">
        <v>201</v>
      </c>
      <c r="D27" s="19" t="s">
        <v>124</v>
      </c>
      <c r="E27" s="12">
        <v>5366.6</v>
      </c>
      <c r="F27" s="17">
        <f t="shared" ref="F27" si="148">E26</f>
        <v>5155.6000000000004</v>
      </c>
      <c r="G27" s="19">
        <f t="shared" ref="G27" si="149">E27-F27</f>
        <v>211</v>
      </c>
      <c r="H27" s="91">
        <v>1</v>
      </c>
      <c r="I27" s="19">
        <f t="shared" ref="I27" si="150">G27*H27</f>
        <v>211</v>
      </c>
      <c r="J27" s="12">
        <v>2857.7</v>
      </c>
      <c r="K27" s="17">
        <f t="shared" ref="K27" si="151">J26</f>
        <v>2739.7</v>
      </c>
      <c r="L27" s="19">
        <f t="shared" ref="L27" si="152">J27-K27</f>
        <v>118</v>
      </c>
      <c r="M27" s="17">
        <f t="shared" si="89"/>
        <v>1</v>
      </c>
      <c r="N27" s="19">
        <f t="shared" ref="N27" si="153">L27*M27</f>
        <v>118</v>
      </c>
      <c r="O27" s="17">
        <f t="shared" ref="O27" si="154">N27-I27</f>
        <v>-93</v>
      </c>
      <c r="P27" s="12">
        <v>5402</v>
      </c>
      <c r="Q27" s="17">
        <f t="shared" ref="Q27" si="155">P26</f>
        <v>5126.7</v>
      </c>
      <c r="R27" s="19">
        <f t="shared" ref="R27" si="156">P27-Q27</f>
        <v>275.30000000000018</v>
      </c>
      <c r="S27" s="17">
        <f t="shared" si="94"/>
        <v>1</v>
      </c>
      <c r="T27" s="19">
        <f t="shared" ref="T27" si="157">R27*S27</f>
        <v>275.30000000000018</v>
      </c>
      <c r="U27" s="19">
        <v>1.94</v>
      </c>
      <c r="V27" s="19"/>
      <c r="W27" s="25"/>
    </row>
    <row r="28" spans="1:23" ht="15.75" x14ac:dyDescent="0.25">
      <c r="A28" s="12">
        <v>21</v>
      </c>
      <c r="B28" s="22" t="s">
        <v>277</v>
      </c>
      <c r="C28" s="19" t="s">
        <v>201</v>
      </c>
      <c r="D28" s="19" t="s">
        <v>124</v>
      </c>
      <c r="E28" s="12">
        <v>5552.7</v>
      </c>
      <c r="F28" s="17">
        <f t="shared" ref="F28" si="158">E27</f>
        <v>5366.6</v>
      </c>
      <c r="G28" s="19">
        <f t="shared" ref="G28" si="159">E28-F28</f>
        <v>186.09999999999945</v>
      </c>
      <c r="H28" s="91">
        <v>1</v>
      </c>
      <c r="I28" s="19">
        <f t="shared" ref="I28" si="160">G28*H28</f>
        <v>186.09999999999945</v>
      </c>
      <c r="J28" s="12">
        <v>2990.9</v>
      </c>
      <c r="K28" s="17">
        <f t="shared" ref="K28" si="161">J27</f>
        <v>2857.7</v>
      </c>
      <c r="L28" s="19">
        <f t="shared" ref="L28" si="162">J28-K28</f>
        <v>133.20000000000027</v>
      </c>
      <c r="M28" s="17">
        <f t="shared" si="89"/>
        <v>1</v>
      </c>
      <c r="N28" s="19">
        <f t="shared" ref="N28" si="163">L28*M28</f>
        <v>133.20000000000027</v>
      </c>
      <c r="O28" s="17">
        <f t="shared" ref="O28" si="164">N28-I28</f>
        <v>-52.899999999999181</v>
      </c>
      <c r="P28" s="12">
        <v>5718.7</v>
      </c>
      <c r="Q28" s="17">
        <f t="shared" ref="Q28" si="165">P27</f>
        <v>5402</v>
      </c>
      <c r="R28" s="19">
        <f t="shared" ref="R28" si="166">P28-Q28</f>
        <v>316.69999999999982</v>
      </c>
      <c r="S28" s="17">
        <f t="shared" si="94"/>
        <v>1</v>
      </c>
      <c r="T28" s="19">
        <f t="shared" ref="T28" si="167">R28*S28</f>
        <v>316.69999999999982</v>
      </c>
      <c r="U28" s="19">
        <v>1.96</v>
      </c>
      <c r="V28" s="19">
        <v>0.98</v>
      </c>
      <c r="W28" s="25"/>
    </row>
    <row r="29" spans="1:23" ht="15.75" x14ac:dyDescent="0.25">
      <c r="A29" s="12">
        <v>22</v>
      </c>
      <c r="B29" s="22" t="s">
        <v>278</v>
      </c>
      <c r="C29" s="19" t="s">
        <v>201</v>
      </c>
      <c r="D29" s="19" t="s">
        <v>124</v>
      </c>
      <c r="E29" s="12">
        <v>5971.8</v>
      </c>
      <c r="F29" s="17">
        <f t="shared" ref="F29" si="168">E28</f>
        <v>5552.7</v>
      </c>
      <c r="G29" s="19">
        <f t="shared" ref="G29" si="169">E29-F29</f>
        <v>419.10000000000036</v>
      </c>
      <c r="H29" s="91">
        <v>1</v>
      </c>
      <c r="I29" s="19">
        <f t="shared" ref="I29" si="170">G29*H29</f>
        <v>419.10000000000036</v>
      </c>
      <c r="J29" s="12">
        <v>3140.9</v>
      </c>
      <c r="K29" s="17">
        <f t="shared" ref="K29" si="171">J28</f>
        <v>2990.9</v>
      </c>
      <c r="L29" s="19">
        <f t="shared" ref="L29" si="172">J29-K29</f>
        <v>150</v>
      </c>
      <c r="M29" s="17">
        <f t="shared" si="89"/>
        <v>1</v>
      </c>
      <c r="N29" s="19">
        <f t="shared" ref="N29" si="173">L29*M29</f>
        <v>150</v>
      </c>
      <c r="O29" s="17">
        <f t="shared" ref="O29" si="174">N29-I29</f>
        <v>-269.10000000000036</v>
      </c>
      <c r="P29" s="12">
        <v>6027.5</v>
      </c>
      <c r="Q29" s="17">
        <f t="shared" ref="Q29" si="175">P28</f>
        <v>5718.7</v>
      </c>
      <c r="R29" s="19">
        <f t="shared" ref="R29" si="176">P29-Q29</f>
        <v>308.80000000000018</v>
      </c>
      <c r="S29" s="17">
        <f t="shared" si="94"/>
        <v>1</v>
      </c>
      <c r="T29" s="19">
        <f t="shared" ref="T29" si="177">R29*S29</f>
        <v>308.80000000000018</v>
      </c>
      <c r="U29" s="19">
        <v>1.97</v>
      </c>
      <c r="V29" s="19">
        <v>0.96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201</v>
      </c>
      <c r="D31" s="19" t="s">
        <v>124</v>
      </c>
      <c r="E31" s="12">
        <f>E29+110</f>
        <v>6081.8</v>
      </c>
      <c r="F31" s="17">
        <f t="shared" ref="F31" si="178">E29</f>
        <v>5971.8</v>
      </c>
      <c r="G31" s="19">
        <f t="shared" ref="G31" si="179">E31-F31</f>
        <v>110</v>
      </c>
      <c r="H31" s="91">
        <v>1</v>
      </c>
      <c r="I31" s="19">
        <f t="shared" ref="I31" si="180">G31*H31</f>
        <v>110</v>
      </c>
      <c r="J31" s="12">
        <f>J29+185</f>
        <v>3325.9</v>
      </c>
      <c r="K31" s="17">
        <f t="shared" ref="K31" si="181">J29</f>
        <v>3140.9</v>
      </c>
      <c r="L31" s="19">
        <f t="shared" ref="L31" si="182">J31-K31</f>
        <v>185</v>
      </c>
      <c r="M31" s="17">
        <f>M29</f>
        <v>1</v>
      </c>
      <c r="N31" s="19">
        <f t="shared" ref="N31" si="183">L31*M31</f>
        <v>185</v>
      </c>
      <c r="O31" s="17">
        <f t="shared" ref="O31" si="184">N31-I31</f>
        <v>75</v>
      </c>
      <c r="P31" s="12">
        <f>P29+308</f>
        <v>6335.5</v>
      </c>
      <c r="Q31" s="17">
        <f t="shared" ref="Q31" si="185">P29</f>
        <v>6027.5</v>
      </c>
      <c r="R31" s="19">
        <f t="shared" ref="R31" si="186">P31-Q31</f>
        <v>308</v>
      </c>
      <c r="S31" s="17">
        <f>S29</f>
        <v>1</v>
      </c>
      <c r="T31" s="19">
        <f t="shared" ref="T31" si="187">R31*S31</f>
        <v>308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201</v>
      </c>
      <c r="D32" s="19" t="s">
        <v>124</v>
      </c>
      <c r="E32" s="12">
        <f>E31+111</f>
        <v>6192.8</v>
      </c>
      <c r="F32" s="17">
        <f t="shared" ref="F32" si="188">E31</f>
        <v>6081.8</v>
      </c>
      <c r="G32" s="19">
        <f t="shared" ref="G32" si="189">E32-F32</f>
        <v>111</v>
      </c>
      <c r="H32" s="91">
        <v>1</v>
      </c>
      <c r="I32" s="19">
        <f t="shared" ref="I32" si="190">G32*H32</f>
        <v>111</v>
      </c>
      <c r="J32" s="12">
        <f>J31+186</f>
        <v>3511.9</v>
      </c>
      <c r="K32" s="17">
        <f t="shared" ref="K32" si="191">J31</f>
        <v>3325.9</v>
      </c>
      <c r="L32" s="19">
        <f t="shared" ref="L32" si="192">J32-K32</f>
        <v>186</v>
      </c>
      <c r="M32" s="17">
        <f t="shared" si="89"/>
        <v>1</v>
      </c>
      <c r="N32" s="19">
        <f t="shared" ref="N32" si="193">L32*M32</f>
        <v>186</v>
      </c>
      <c r="O32" s="17">
        <f t="shared" ref="O32" si="194">N32-I32</f>
        <v>75</v>
      </c>
      <c r="P32" s="12">
        <f>P31+309</f>
        <v>6644.5</v>
      </c>
      <c r="Q32" s="17">
        <f t="shared" ref="Q32" si="195">P31</f>
        <v>6335.5</v>
      </c>
      <c r="R32" s="19">
        <f t="shared" ref="R32" si="196">P32-Q32</f>
        <v>309</v>
      </c>
      <c r="S32" s="17">
        <f t="shared" si="94"/>
        <v>1</v>
      </c>
      <c r="T32" s="19">
        <f t="shared" ref="T32" si="197">R32*S32</f>
        <v>309</v>
      </c>
      <c r="U32" s="19"/>
      <c r="V32" s="19"/>
      <c r="W32" s="25"/>
    </row>
    <row r="33" spans="1:23" ht="15.75" x14ac:dyDescent="0.25">
      <c r="A33" s="12">
        <v>25</v>
      </c>
      <c r="B33" s="22" t="s">
        <v>281</v>
      </c>
      <c r="C33" s="19" t="s">
        <v>201</v>
      </c>
      <c r="D33" s="19" t="s">
        <v>124</v>
      </c>
      <c r="E33" s="12">
        <v>6306.9</v>
      </c>
      <c r="F33" s="17">
        <f t="shared" ref="F33" si="198">E32</f>
        <v>6192.8</v>
      </c>
      <c r="G33" s="19">
        <f t="shared" ref="G33" si="199">E33-F33</f>
        <v>114.09999999999945</v>
      </c>
      <c r="H33" s="91">
        <v>1</v>
      </c>
      <c r="I33" s="19">
        <f t="shared" ref="I33" si="200">G33*H33</f>
        <v>114.09999999999945</v>
      </c>
      <c r="J33" s="12">
        <v>3706.4</v>
      </c>
      <c r="K33" s="17">
        <f t="shared" ref="K33" si="201">J32</f>
        <v>3511.9</v>
      </c>
      <c r="L33" s="19">
        <f t="shared" ref="L33" si="202">J33-K33</f>
        <v>194.5</v>
      </c>
      <c r="M33" s="17">
        <f t="shared" si="89"/>
        <v>1</v>
      </c>
      <c r="N33" s="19">
        <f t="shared" ref="N33" si="203">L33*M33</f>
        <v>194.5</v>
      </c>
      <c r="O33" s="17">
        <f t="shared" ref="O33" si="204">N33-I33</f>
        <v>80.400000000000546</v>
      </c>
      <c r="P33" s="12">
        <v>6952.5</v>
      </c>
      <c r="Q33" s="17">
        <f t="shared" ref="Q33" si="205">P32</f>
        <v>6644.5</v>
      </c>
      <c r="R33" s="19">
        <f t="shared" ref="R33" si="206">P33-Q33</f>
        <v>308</v>
      </c>
      <c r="S33" s="17">
        <f t="shared" si="94"/>
        <v>1</v>
      </c>
      <c r="T33" s="19">
        <f t="shared" ref="T33" si="207">R33*S33</f>
        <v>308</v>
      </c>
      <c r="U33" s="19">
        <v>1.9</v>
      </c>
      <c r="V33" s="19">
        <v>0.98</v>
      </c>
      <c r="W33" s="25"/>
    </row>
    <row r="34" spans="1:23" ht="15.75" x14ac:dyDescent="0.25">
      <c r="A34" s="12">
        <v>26</v>
      </c>
      <c r="B34" s="22" t="s">
        <v>282</v>
      </c>
      <c r="C34" s="19" t="s">
        <v>201</v>
      </c>
      <c r="D34" s="19" t="s">
        <v>124</v>
      </c>
      <c r="E34" s="12">
        <v>6446</v>
      </c>
      <c r="F34" s="17">
        <f t="shared" ref="F34" si="208">E33</f>
        <v>6306.9</v>
      </c>
      <c r="G34" s="19">
        <f t="shared" ref="G34" si="209">E34-F34</f>
        <v>139.10000000000036</v>
      </c>
      <c r="H34" s="91">
        <v>1</v>
      </c>
      <c r="I34" s="19">
        <f t="shared" ref="I34" si="210">G34*H34</f>
        <v>139.10000000000036</v>
      </c>
      <c r="J34" s="12">
        <v>3859.6</v>
      </c>
      <c r="K34" s="17">
        <f t="shared" ref="K34" si="211">J33</f>
        <v>3706.4</v>
      </c>
      <c r="L34" s="19">
        <f t="shared" ref="L34" si="212">J34-K34</f>
        <v>153.19999999999982</v>
      </c>
      <c r="M34" s="17">
        <f t="shared" si="89"/>
        <v>1</v>
      </c>
      <c r="N34" s="19">
        <f t="shared" ref="N34" si="213">L34*M34</f>
        <v>153.19999999999982</v>
      </c>
      <c r="O34" s="17">
        <f t="shared" ref="O34" si="214">N34-I34</f>
        <v>14.099999999999454</v>
      </c>
      <c r="P34" s="12">
        <v>7213</v>
      </c>
      <c r="Q34" s="17">
        <f t="shared" ref="Q34" si="215">P33</f>
        <v>6952.5</v>
      </c>
      <c r="R34" s="19">
        <f t="shared" ref="R34" si="216">P34-Q34</f>
        <v>260.5</v>
      </c>
      <c r="S34" s="17">
        <f t="shared" si="94"/>
        <v>1</v>
      </c>
      <c r="T34" s="19">
        <f t="shared" ref="T34" si="217">R34*S34</f>
        <v>260.5</v>
      </c>
      <c r="U34" s="19"/>
      <c r="V34" s="19">
        <v>0.92</v>
      </c>
      <c r="W34" s="25"/>
    </row>
    <row r="35" spans="1:23" ht="15.75" x14ac:dyDescent="0.25">
      <c r="A35" s="12">
        <v>27</v>
      </c>
      <c r="B35" s="22" t="s">
        <v>283</v>
      </c>
      <c r="C35" s="19" t="s">
        <v>201</v>
      </c>
      <c r="D35" s="19" t="s">
        <v>124</v>
      </c>
      <c r="E35" s="12">
        <v>6621.7</v>
      </c>
      <c r="F35" s="17">
        <f t="shared" ref="F35" si="218">E34</f>
        <v>6446</v>
      </c>
      <c r="G35" s="19">
        <f t="shared" ref="G35" si="219">E35-F35</f>
        <v>175.69999999999982</v>
      </c>
      <c r="H35" s="91">
        <v>1</v>
      </c>
      <c r="I35" s="19">
        <f t="shared" ref="I35" si="220">G35*H35</f>
        <v>175.69999999999982</v>
      </c>
      <c r="J35" s="12">
        <v>4009.8</v>
      </c>
      <c r="K35" s="17">
        <f t="shared" ref="K35" si="221">J34</f>
        <v>3859.6</v>
      </c>
      <c r="L35" s="19">
        <f t="shared" ref="L35" si="222">J35-K35</f>
        <v>150.20000000000027</v>
      </c>
      <c r="M35" s="17">
        <f t="shared" si="89"/>
        <v>1</v>
      </c>
      <c r="N35" s="19">
        <f t="shared" ref="N35" si="223">L35*M35</f>
        <v>150.20000000000027</v>
      </c>
      <c r="O35" s="17">
        <f t="shared" ref="O35" si="224">N35-I35</f>
        <v>-25.499999999999545</v>
      </c>
      <c r="P35" s="12">
        <v>7468</v>
      </c>
      <c r="Q35" s="17">
        <f t="shared" ref="Q35" si="225">P34</f>
        <v>7213</v>
      </c>
      <c r="R35" s="19">
        <f t="shared" ref="R35" si="226">P35-Q35</f>
        <v>255</v>
      </c>
      <c r="S35" s="17">
        <f t="shared" si="94"/>
        <v>1</v>
      </c>
      <c r="T35" s="19">
        <f t="shared" ref="T35" si="227">R35*S35</f>
        <v>255</v>
      </c>
      <c r="U35" s="19">
        <v>2.63</v>
      </c>
      <c r="V35" s="19">
        <v>0.93</v>
      </c>
      <c r="W35" s="25"/>
    </row>
    <row r="36" spans="1:23" ht="15.75" x14ac:dyDescent="0.25">
      <c r="A36" s="12">
        <v>28</v>
      </c>
      <c r="B36" s="22" t="s">
        <v>284</v>
      </c>
      <c r="C36" s="19" t="s">
        <v>201</v>
      </c>
      <c r="D36" s="19" t="s">
        <v>124</v>
      </c>
      <c r="E36" s="12">
        <v>6827.7</v>
      </c>
      <c r="F36" s="17">
        <f t="shared" ref="F36" si="228">E35</f>
        <v>6621.7</v>
      </c>
      <c r="G36" s="19">
        <f t="shared" ref="G36" si="229">E36-F36</f>
        <v>206</v>
      </c>
      <c r="H36" s="91">
        <v>1</v>
      </c>
      <c r="I36" s="19">
        <f t="shared" ref="I36" si="230">G36*H36</f>
        <v>206</v>
      </c>
      <c r="J36" s="12">
        <v>4162.1000000000004</v>
      </c>
      <c r="K36" s="17">
        <f t="shared" ref="K36" si="231">J35</f>
        <v>4009.8</v>
      </c>
      <c r="L36" s="19">
        <f t="shared" ref="L36" si="232">J36-K36</f>
        <v>152.30000000000018</v>
      </c>
      <c r="M36" s="17">
        <f t="shared" si="89"/>
        <v>1</v>
      </c>
      <c r="N36" s="19">
        <f t="shared" ref="N36" si="233">L36*M36</f>
        <v>152.30000000000018</v>
      </c>
      <c r="O36" s="17">
        <f t="shared" ref="O36" si="234">N36-I36</f>
        <v>-53.699999999999818</v>
      </c>
      <c r="P36" s="12">
        <v>7734.3</v>
      </c>
      <c r="Q36" s="17">
        <f t="shared" ref="Q36" si="235">P35</f>
        <v>7468</v>
      </c>
      <c r="R36" s="19">
        <f t="shared" ref="R36" si="236">P36-Q36</f>
        <v>266.30000000000018</v>
      </c>
      <c r="S36" s="17">
        <f t="shared" si="94"/>
        <v>1</v>
      </c>
      <c r="T36" s="19">
        <f t="shared" ref="T36" si="237">R36*S36</f>
        <v>266.30000000000018</v>
      </c>
      <c r="U36" s="19">
        <v>3.25</v>
      </c>
      <c r="V36" s="19">
        <v>0.93</v>
      </c>
      <c r="W36" s="25"/>
    </row>
    <row r="37" spans="1:23" ht="15.75" x14ac:dyDescent="0.25">
      <c r="A37" s="12">
        <v>29</v>
      </c>
      <c r="B37" s="22" t="s">
        <v>286</v>
      </c>
      <c r="C37" s="19" t="s">
        <v>201</v>
      </c>
      <c r="D37" s="19" t="s">
        <v>124</v>
      </c>
      <c r="E37" s="12">
        <v>6976.66</v>
      </c>
      <c r="F37" s="17">
        <f t="shared" ref="F37" si="238">E36</f>
        <v>6827.7</v>
      </c>
      <c r="G37" s="19">
        <f t="shared" ref="G37" si="239">E37-F37</f>
        <v>148.96000000000004</v>
      </c>
      <c r="H37" s="91">
        <v>1</v>
      </c>
      <c r="I37" s="19">
        <f t="shared" ref="I37" si="240">G37*H37</f>
        <v>148.96000000000004</v>
      </c>
      <c r="J37" s="12">
        <v>4342.1000000000004</v>
      </c>
      <c r="K37" s="17">
        <f t="shared" ref="K37" si="241">J36</f>
        <v>4162.1000000000004</v>
      </c>
      <c r="L37" s="19">
        <f t="shared" ref="L37" si="242">J37-K37</f>
        <v>180</v>
      </c>
      <c r="M37" s="17">
        <f t="shared" si="89"/>
        <v>1</v>
      </c>
      <c r="N37" s="19">
        <f t="shared" ref="N37" si="243">L37*M37</f>
        <v>180</v>
      </c>
      <c r="O37" s="17">
        <f t="shared" ref="O37" si="244">N37-I37</f>
        <v>31.039999999999964</v>
      </c>
      <c r="P37" s="12">
        <v>8059.5</v>
      </c>
      <c r="Q37" s="17">
        <f t="shared" ref="Q37" si="245">P36</f>
        <v>7734.3</v>
      </c>
      <c r="R37" s="19">
        <f t="shared" ref="R37" si="246">P37-Q37</f>
        <v>325.19999999999982</v>
      </c>
      <c r="S37" s="17">
        <f t="shared" si="94"/>
        <v>1</v>
      </c>
      <c r="T37" s="19">
        <f t="shared" ref="T37" si="247">R37*S37</f>
        <v>325.19999999999982</v>
      </c>
      <c r="U37" s="19">
        <v>2.99</v>
      </c>
      <c r="V37" s="19">
        <v>0.84</v>
      </c>
      <c r="W37" s="25"/>
    </row>
    <row r="38" spans="1:23" ht="15.75" x14ac:dyDescent="0.25">
      <c r="A38" s="12">
        <v>30</v>
      </c>
      <c r="B38" s="22" t="s">
        <v>288</v>
      </c>
      <c r="C38" s="19" t="s">
        <v>201</v>
      </c>
      <c r="D38" s="19" t="s">
        <v>124</v>
      </c>
      <c r="E38" s="12">
        <v>7203.7</v>
      </c>
      <c r="F38" s="17">
        <f t="shared" ref="F38" si="248">E37</f>
        <v>6976.66</v>
      </c>
      <c r="G38" s="19">
        <f t="shared" ref="G38" si="249">E38-F38</f>
        <v>227.03999999999996</v>
      </c>
      <c r="H38" s="91">
        <v>1</v>
      </c>
      <c r="I38" s="19">
        <f t="shared" ref="I38" si="250">G38*H38</f>
        <v>227.03999999999996</v>
      </c>
      <c r="J38" s="12">
        <v>4463.8999999999996</v>
      </c>
      <c r="K38" s="17">
        <f t="shared" ref="K38" si="251">J37</f>
        <v>4342.1000000000004</v>
      </c>
      <c r="L38" s="19">
        <f t="shared" ref="L38" si="252">J38-K38</f>
        <v>121.79999999999927</v>
      </c>
      <c r="M38" s="17">
        <f t="shared" si="89"/>
        <v>1</v>
      </c>
      <c r="N38" s="19">
        <f t="shared" ref="N38" si="253">L38*M38</f>
        <v>121.79999999999927</v>
      </c>
      <c r="O38" s="17">
        <f t="shared" ref="O38" si="254">N38-I38</f>
        <v>-105.24000000000069</v>
      </c>
      <c r="P38" s="12">
        <v>8237.9</v>
      </c>
      <c r="Q38" s="17">
        <f t="shared" ref="Q38" si="255">P37</f>
        <v>8059.5</v>
      </c>
      <c r="R38" s="19">
        <f t="shared" ref="R38" si="256">P38-Q38</f>
        <v>178.39999999999964</v>
      </c>
      <c r="S38" s="17">
        <f t="shared" si="94"/>
        <v>1</v>
      </c>
      <c r="T38" s="19">
        <f t="shared" ref="T38" si="257">R38*S38</f>
        <v>178.39999999999964</v>
      </c>
      <c r="U38" s="19">
        <v>4.08</v>
      </c>
      <c r="V38" s="19">
        <v>0.91</v>
      </c>
      <c r="W38" s="25"/>
    </row>
    <row r="39" spans="1:23" ht="15.75" x14ac:dyDescent="0.25">
      <c r="A39" s="12">
        <v>31</v>
      </c>
      <c r="B39" s="22" t="s">
        <v>289</v>
      </c>
      <c r="C39" s="19" t="s">
        <v>201</v>
      </c>
      <c r="D39" s="19" t="s">
        <v>124</v>
      </c>
      <c r="E39" s="12">
        <v>7623.8</v>
      </c>
      <c r="F39" s="17">
        <f t="shared" ref="F39" si="258">E38</f>
        <v>7203.7</v>
      </c>
      <c r="G39" s="19">
        <f t="shared" ref="G39" si="259">E39-F39</f>
        <v>420.10000000000036</v>
      </c>
      <c r="H39" s="91">
        <v>1</v>
      </c>
      <c r="I39" s="19">
        <f t="shared" ref="I39" si="260">G39*H39</f>
        <v>420.10000000000036</v>
      </c>
      <c r="J39" s="12">
        <v>4627.2</v>
      </c>
      <c r="K39" s="17">
        <f t="shared" ref="K39" si="261">J38</f>
        <v>4463.8999999999996</v>
      </c>
      <c r="L39" s="19">
        <f t="shared" ref="L39" si="262">J39-K39</f>
        <v>163.30000000000018</v>
      </c>
      <c r="M39" s="17">
        <f t="shared" si="89"/>
        <v>1</v>
      </c>
      <c r="N39" s="19">
        <f t="shared" ref="N39" si="263">L39*M39</f>
        <v>163.30000000000018</v>
      </c>
      <c r="O39" s="17">
        <f t="shared" ref="O39" si="264">N39-I39</f>
        <v>-256.80000000000018</v>
      </c>
      <c r="P39" s="12">
        <v>8497.1</v>
      </c>
      <c r="Q39" s="17">
        <f t="shared" ref="Q39" si="265">P38</f>
        <v>8237.9</v>
      </c>
      <c r="R39" s="19">
        <f t="shared" ref="R39" si="266">P39-Q39</f>
        <v>259.20000000000073</v>
      </c>
      <c r="S39" s="17">
        <f t="shared" si="94"/>
        <v>1</v>
      </c>
      <c r="T39" s="19">
        <f t="shared" ref="T39" si="267">R39*S39</f>
        <v>259.20000000000073</v>
      </c>
      <c r="U39" s="19">
        <v>4.6500000000000004</v>
      </c>
      <c r="V39" s="19">
        <v>0.94</v>
      </c>
      <c r="W39" s="25"/>
    </row>
    <row r="40" spans="1:23" ht="15.75" x14ac:dyDescent="0.25">
      <c r="A40" s="12">
        <v>32</v>
      </c>
      <c r="B40" s="22" t="s">
        <v>290</v>
      </c>
      <c r="C40" s="19" t="s">
        <v>201</v>
      </c>
      <c r="D40" s="19" t="s">
        <v>124</v>
      </c>
      <c r="E40" s="12">
        <v>7942</v>
      </c>
      <c r="F40" s="17">
        <f t="shared" ref="F40" si="268">E39</f>
        <v>7623.8</v>
      </c>
      <c r="G40" s="19">
        <f t="shared" ref="G40" si="269">E40-F40</f>
        <v>318.19999999999982</v>
      </c>
      <c r="H40" s="91">
        <v>1</v>
      </c>
      <c r="I40" s="19">
        <f t="shared" ref="I40" si="270">G40*H40</f>
        <v>318.19999999999982</v>
      </c>
      <c r="J40" s="12">
        <v>4823.3999999999996</v>
      </c>
      <c r="K40" s="17">
        <f t="shared" ref="K40" si="271">J39</f>
        <v>4627.2</v>
      </c>
      <c r="L40" s="19">
        <f t="shared" ref="L40" si="272">J40-K40</f>
        <v>196.19999999999982</v>
      </c>
      <c r="M40" s="17">
        <f t="shared" si="89"/>
        <v>1</v>
      </c>
      <c r="N40" s="19">
        <f t="shared" ref="N40" si="273">L40*M40</f>
        <v>196.19999999999982</v>
      </c>
      <c r="O40" s="17">
        <f t="shared" ref="O40" si="274">N40-I40</f>
        <v>-122</v>
      </c>
      <c r="P40" s="12">
        <v>8791.7999999999993</v>
      </c>
      <c r="Q40" s="17">
        <f t="shared" ref="Q40" si="275">P39</f>
        <v>8497.1</v>
      </c>
      <c r="R40" s="19">
        <f t="shared" ref="R40" si="276">P40-Q40</f>
        <v>294.69999999999891</v>
      </c>
      <c r="S40" s="17">
        <f t="shared" si="94"/>
        <v>1</v>
      </c>
      <c r="T40" s="19">
        <f t="shared" ref="T40" si="277">R40*S40</f>
        <v>294.69999999999891</v>
      </c>
      <c r="U40" s="19">
        <v>4.04</v>
      </c>
      <c r="V40" s="19">
        <v>0.98</v>
      </c>
      <c r="W40" s="25"/>
    </row>
    <row r="41" spans="1:23" ht="15.75" x14ac:dyDescent="0.25">
      <c r="A41" s="12">
        <v>33</v>
      </c>
      <c r="B41" s="22" t="s">
        <v>291</v>
      </c>
      <c r="C41" s="19" t="s">
        <v>201</v>
      </c>
      <c r="D41" s="19" t="s">
        <v>124</v>
      </c>
      <c r="E41" s="12">
        <v>8325.7000000000007</v>
      </c>
      <c r="F41" s="17">
        <f t="shared" ref="F41:F48" si="278">E40</f>
        <v>7942</v>
      </c>
      <c r="G41" s="19">
        <f t="shared" ref="G41:G48" si="279">E41-F41</f>
        <v>383.70000000000073</v>
      </c>
      <c r="H41" s="91">
        <v>1</v>
      </c>
      <c r="I41" s="19">
        <f t="shared" ref="I41:I48" si="280">G41*H41</f>
        <v>383.70000000000073</v>
      </c>
      <c r="J41" s="12">
        <v>5010.2</v>
      </c>
      <c r="K41" s="17">
        <f t="shared" ref="K41:K48" si="281">J40</f>
        <v>4823.3999999999996</v>
      </c>
      <c r="L41" s="19">
        <f t="shared" ref="L41:L48" si="282">J41-K41</f>
        <v>186.80000000000018</v>
      </c>
      <c r="M41" s="17">
        <f t="shared" si="89"/>
        <v>1</v>
      </c>
      <c r="N41" s="19">
        <f t="shared" ref="N41:N48" si="283">L41*M41</f>
        <v>186.80000000000018</v>
      </c>
      <c r="O41" s="17">
        <f t="shared" ref="O41:O48" si="284">N41-I41</f>
        <v>-196.90000000000055</v>
      </c>
      <c r="P41" s="12">
        <v>9092.7000000000007</v>
      </c>
      <c r="Q41" s="17">
        <f t="shared" ref="Q41:Q48" si="285">P40</f>
        <v>8791.7999999999993</v>
      </c>
      <c r="R41" s="19">
        <f t="shared" ref="R41:R48" si="286">P41-Q41</f>
        <v>300.90000000000146</v>
      </c>
      <c r="S41" s="17">
        <f t="shared" si="94"/>
        <v>1</v>
      </c>
      <c r="T41" s="19">
        <f t="shared" ref="T41:T48" si="287">R41*S41</f>
        <v>300.90000000000146</v>
      </c>
      <c r="U41" s="19">
        <v>4.8499999999999996</v>
      </c>
      <c r="V41" s="19">
        <v>0.98</v>
      </c>
      <c r="W41" s="25"/>
    </row>
    <row r="42" spans="1:23" ht="15.75" x14ac:dyDescent="0.25">
      <c r="A42" s="12">
        <v>34</v>
      </c>
      <c r="B42" s="22" t="s">
        <v>292</v>
      </c>
      <c r="C42" s="19" t="s">
        <v>201</v>
      </c>
      <c r="D42" s="19" t="s">
        <v>124</v>
      </c>
      <c r="E42" s="12">
        <v>8706.2000000000007</v>
      </c>
      <c r="F42" s="17">
        <f t="shared" si="278"/>
        <v>8325.7000000000007</v>
      </c>
      <c r="G42" s="19">
        <f t="shared" si="279"/>
        <v>380.5</v>
      </c>
      <c r="H42" s="91">
        <v>1</v>
      </c>
      <c r="I42" s="19">
        <f t="shared" si="280"/>
        <v>380.5</v>
      </c>
      <c r="J42" s="12">
        <v>5218.8</v>
      </c>
      <c r="K42" s="17">
        <f t="shared" si="281"/>
        <v>5010.2</v>
      </c>
      <c r="L42" s="19">
        <f t="shared" si="282"/>
        <v>208.60000000000036</v>
      </c>
      <c r="M42" s="17">
        <f t="shared" si="89"/>
        <v>1</v>
      </c>
      <c r="N42" s="19">
        <f t="shared" si="283"/>
        <v>208.60000000000036</v>
      </c>
      <c r="O42" s="17">
        <f t="shared" si="284"/>
        <v>-171.89999999999964</v>
      </c>
      <c r="P42" s="12">
        <v>9407.2999999999993</v>
      </c>
      <c r="Q42" s="17">
        <f t="shared" si="285"/>
        <v>9092.7000000000007</v>
      </c>
      <c r="R42" s="19">
        <f t="shared" si="286"/>
        <v>314.59999999999854</v>
      </c>
      <c r="S42" s="17">
        <f t="shared" si="94"/>
        <v>1</v>
      </c>
      <c r="T42" s="19">
        <f t="shared" si="287"/>
        <v>314.59999999999854</v>
      </c>
      <c r="U42" s="19">
        <v>3.74</v>
      </c>
      <c r="V42" s="19">
        <v>0.97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201</v>
      </c>
      <c r="D44" s="19" t="s">
        <v>124</v>
      </c>
      <c r="E44" s="12">
        <v>8834.5</v>
      </c>
      <c r="F44" s="17">
        <f>E42</f>
        <v>8706.2000000000007</v>
      </c>
      <c r="G44" s="19">
        <f t="shared" si="279"/>
        <v>128.29999999999927</v>
      </c>
      <c r="H44" s="91">
        <v>1</v>
      </c>
      <c r="I44" s="19">
        <f t="shared" si="280"/>
        <v>128.29999999999927</v>
      </c>
      <c r="J44" s="12">
        <v>5432.6</v>
      </c>
      <c r="K44" s="17">
        <f>J42</f>
        <v>5218.8</v>
      </c>
      <c r="L44" s="19">
        <f t="shared" si="282"/>
        <v>213.80000000000018</v>
      </c>
      <c r="M44" s="17">
        <f>M42</f>
        <v>1</v>
      </c>
      <c r="N44" s="19">
        <f t="shared" si="283"/>
        <v>213.80000000000018</v>
      </c>
      <c r="O44" s="17">
        <f t="shared" si="284"/>
        <v>85.500000000000909</v>
      </c>
      <c r="P44" s="12">
        <v>9762</v>
      </c>
      <c r="Q44" s="17">
        <f>P42</f>
        <v>9407.2999999999993</v>
      </c>
      <c r="R44" s="19">
        <f t="shared" si="286"/>
        <v>354.70000000000073</v>
      </c>
      <c r="S44" s="17">
        <f>S42</f>
        <v>1</v>
      </c>
      <c r="T44" s="19">
        <f t="shared" si="287"/>
        <v>354.70000000000073</v>
      </c>
      <c r="U44" s="19">
        <v>2.9</v>
      </c>
      <c r="V44" s="19">
        <v>0.95</v>
      </c>
      <c r="W44" s="25"/>
    </row>
    <row r="45" spans="1:23" ht="15.75" x14ac:dyDescent="0.25">
      <c r="A45" s="12">
        <v>36</v>
      </c>
      <c r="B45" s="22" t="s">
        <v>294</v>
      </c>
      <c r="C45" s="19" t="s">
        <v>201</v>
      </c>
      <c r="D45" s="19" t="s">
        <v>124</v>
      </c>
      <c r="E45" s="12">
        <v>9015.2000000000007</v>
      </c>
      <c r="F45" s="17">
        <f t="shared" si="278"/>
        <v>8834.5</v>
      </c>
      <c r="G45" s="19">
        <f t="shared" si="279"/>
        <v>180.70000000000073</v>
      </c>
      <c r="H45" s="91">
        <v>1</v>
      </c>
      <c r="I45" s="19">
        <f t="shared" si="280"/>
        <v>180.70000000000073</v>
      </c>
      <c r="J45" s="12">
        <v>5586.4</v>
      </c>
      <c r="K45" s="17">
        <f t="shared" si="281"/>
        <v>5432.6</v>
      </c>
      <c r="L45" s="19">
        <f t="shared" si="282"/>
        <v>153.79999999999927</v>
      </c>
      <c r="M45" s="17">
        <f t="shared" si="89"/>
        <v>1</v>
      </c>
      <c r="N45" s="19">
        <f t="shared" si="283"/>
        <v>153.79999999999927</v>
      </c>
      <c r="O45" s="17">
        <f t="shared" si="284"/>
        <v>-26.900000000001455</v>
      </c>
      <c r="P45" s="12">
        <v>9988.5</v>
      </c>
      <c r="Q45" s="17">
        <f t="shared" si="285"/>
        <v>9762</v>
      </c>
      <c r="R45" s="19">
        <f t="shared" si="286"/>
        <v>226.5</v>
      </c>
      <c r="S45" s="17">
        <f t="shared" si="94"/>
        <v>1</v>
      </c>
      <c r="T45" s="19">
        <f t="shared" si="287"/>
        <v>226.5</v>
      </c>
      <c r="U45" s="19">
        <v>3.2</v>
      </c>
      <c r="V45" s="19">
        <v>0.93</v>
      </c>
      <c r="W45" s="25"/>
    </row>
    <row r="46" spans="1:23" ht="15.75" x14ac:dyDescent="0.25">
      <c r="A46" s="12">
        <v>37</v>
      </c>
      <c r="B46" s="22" t="s">
        <v>295</v>
      </c>
      <c r="C46" s="19" t="s">
        <v>201</v>
      </c>
      <c r="D46" s="19" t="s">
        <v>124</v>
      </c>
      <c r="E46" s="12">
        <v>9423.2000000000007</v>
      </c>
      <c r="F46" s="17">
        <f t="shared" si="278"/>
        <v>9015.2000000000007</v>
      </c>
      <c r="G46" s="19">
        <f t="shared" si="279"/>
        <v>408</v>
      </c>
      <c r="H46" s="91">
        <v>1</v>
      </c>
      <c r="I46" s="19">
        <f t="shared" si="280"/>
        <v>408</v>
      </c>
      <c r="J46" s="12">
        <v>5731</v>
      </c>
      <c r="K46" s="17">
        <f t="shared" si="281"/>
        <v>5586.4</v>
      </c>
      <c r="L46" s="19">
        <f t="shared" si="282"/>
        <v>144.60000000000036</v>
      </c>
      <c r="M46" s="17">
        <f t="shared" si="89"/>
        <v>1</v>
      </c>
      <c r="N46" s="19">
        <f t="shared" si="283"/>
        <v>144.60000000000036</v>
      </c>
      <c r="O46" s="17">
        <f t="shared" si="284"/>
        <v>-263.39999999999964</v>
      </c>
      <c r="P46" s="12">
        <v>10259.9</v>
      </c>
      <c r="Q46" s="17">
        <f t="shared" si="285"/>
        <v>9988.5</v>
      </c>
      <c r="R46" s="19">
        <f t="shared" si="286"/>
        <v>271.39999999999964</v>
      </c>
      <c r="S46" s="17">
        <f t="shared" si="94"/>
        <v>1</v>
      </c>
      <c r="T46" s="19">
        <f t="shared" si="287"/>
        <v>271.39999999999964</v>
      </c>
      <c r="U46" s="19">
        <v>4</v>
      </c>
      <c r="V46" s="19">
        <v>0.98</v>
      </c>
      <c r="W46" s="25"/>
    </row>
    <row r="47" spans="1:23" ht="15.75" x14ac:dyDescent="0.25">
      <c r="A47" s="12">
        <v>38</v>
      </c>
      <c r="B47" s="22" t="s">
        <v>296</v>
      </c>
      <c r="C47" s="19" t="s">
        <v>201</v>
      </c>
      <c r="D47" s="19" t="s">
        <v>124</v>
      </c>
      <c r="E47" s="12">
        <v>9899.9</v>
      </c>
      <c r="F47" s="17">
        <f t="shared" si="278"/>
        <v>9423.2000000000007</v>
      </c>
      <c r="G47" s="19">
        <f t="shared" si="279"/>
        <v>476.69999999999891</v>
      </c>
      <c r="H47" s="91">
        <v>1</v>
      </c>
      <c r="I47" s="19">
        <f t="shared" si="280"/>
        <v>476.69999999999891</v>
      </c>
      <c r="J47" s="12">
        <v>5832.4</v>
      </c>
      <c r="K47" s="17">
        <f t="shared" si="281"/>
        <v>5731</v>
      </c>
      <c r="L47" s="19">
        <f t="shared" si="282"/>
        <v>101.39999999999964</v>
      </c>
      <c r="M47" s="17">
        <f t="shared" si="89"/>
        <v>1</v>
      </c>
      <c r="N47" s="19">
        <f t="shared" si="283"/>
        <v>101.39999999999964</v>
      </c>
      <c r="O47" s="17">
        <f t="shared" si="284"/>
        <v>-375.29999999999927</v>
      </c>
      <c r="P47" s="12">
        <v>10488.4</v>
      </c>
      <c r="Q47" s="17">
        <f t="shared" si="285"/>
        <v>10259.9</v>
      </c>
      <c r="R47" s="19">
        <f t="shared" si="286"/>
        <v>228.5</v>
      </c>
      <c r="S47" s="17">
        <f t="shared" si="94"/>
        <v>1</v>
      </c>
      <c r="T47" s="19">
        <f t="shared" si="287"/>
        <v>228.5</v>
      </c>
      <c r="U47" s="19">
        <v>4.7699999999999996</v>
      </c>
      <c r="V47" s="19">
        <v>0.91</v>
      </c>
      <c r="W47" s="25"/>
    </row>
    <row r="48" spans="1:23" ht="15.75" x14ac:dyDescent="0.25">
      <c r="A48" s="12">
        <v>39</v>
      </c>
      <c r="B48" s="22" t="s">
        <v>297</v>
      </c>
      <c r="C48" s="19" t="s">
        <v>201</v>
      </c>
      <c r="D48" s="19" t="s">
        <v>124</v>
      </c>
      <c r="E48" s="12">
        <v>10364.9</v>
      </c>
      <c r="F48" s="17">
        <f t="shared" si="278"/>
        <v>9899.9</v>
      </c>
      <c r="G48" s="19">
        <f t="shared" si="279"/>
        <v>465</v>
      </c>
      <c r="H48" s="91">
        <v>1</v>
      </c>
      <c r="I48" s="19">
        <f t="shared" si="280"/>
        <v>465</v>
      </c>
      <c r="J48" s="12">
        <v>5937.3</v>
      </c>
      <c r="K48" s="17">
        <f t="shared" si="281"/>
        <v>5832.4</v>
      </c>
      <c r="L48" s="19">
        <f t="shared" si="282"/>
        <v>104.90000000000055</v>
      </c>
      <c r="M48" s="17">
        <f t="shared" si="89"/>
        <v>1</v>
      </c>
      <c r="N48" s="19">
        <f t="shared" si="283"/>
        <v>104.90000000000055</v>
      </c>
      <c r="O48" s="17">
        <f t="shared" si="284"/>
        <v>-360.09999999999945</v>
      </c>
      <c r="P48" s="12">
        <v>10739.9</v>
      </c>
      <c r="Q48" s="17">
        <f t="shared" si="285"/>
        <v>10488.4</v>
      </c>
      <c r="R48" s="19">
        <f t="shared" si="286"/>
        <v>251.5</v>
      </c>
      <c r="S48" s="17">
        <f t="shared" si="94"/>
        <v>1</v>
      </c>
      <c r="T48" s="19">
        <f t="shared" si="287"/>
        <v>251.5</v>
      </c>
      <c r="U48" s="19">
        <v>4.49</v>
      </c>
      <c r="V48" s="19">
        <v>0.99</v>
      </c>
      <c r="W48" s="25"/>
    </row>
    <row r="49" spans="1:23" ht="15.75" x14ac:dyDescent="0.25">
      <c r="A49" s="12">
        <v>40</v>
      </c>
      <c r="B49" s="22" t="s">
        <v>298</v>
      </c>
      <c r="C49" s="19" t="s">
        <v>201</v>
      </c>
      <c r="D49" s="19" t="s">
        <v>124</v>
      </c>
      <c r="E49" s="12">
        <v>10830.5</v>
      </c>
      <c r="F49" s="17">
        <f t="shared" ref="F49" si="288">E48</f>
        <v>10364.9</v>
      </c>
      <c r="G49" s="19">
        <f t="shared" ref="G49" si="289">E49-F49</f>
        <v>465.60000000000036</v>
      </c>
      <c r="H49" s="91">
        <v>1</v>
      </c>
      <c r="I49" s="19">
        <f t="shared" ref="I49" si="290">G49*H49</f>
        <v>465.60000000000036</v>
      </c>
      <c r="J49" s="12">
        <v>6074.8</v>
      </c>
      <c r="K49" s="17">
        <f t="shared" ref="K49" si="291">J48</f>
        <v>5937.3</v>
      </c>
      <c r="L49" s="19">
        <f t="shared" ref="L49" si="292">J49-K49</f>
        <v>137.5</v>
      </c>
      <c r="M49" s="17">
        <f t="shared" si="89"/>
        <v>1</v>
      </c>
      <c r="N49" s="19">
        <f t="shared" ref="N49" si="293">L49*M49</f>
        <v>137.5</v>
      </c>
      <c r="O49" s="17">
        <f t="shared" ref="O49" si="294">N49-I49</f>
        <v>-328.10000000000036</v>
      </c>
      <c r="P49" s="12">
        <v>11013.7</v>
      </c>
      <c r="Q49" s="17">
        <f t="shared" ref="Q49" si="295">P48</f>
        <v>10739.9</v>
      </c>
      <c r="R49" s="19">
        <f t="shared" ref="R49" si="296">P49-Q49</f>
        <v>273.80000000000109</v>
      </c>
      <c r="S49" s="17">
        <f t="shared" si="94"/>
        <v>1</v>
      </c>
      <c r="T49" s="19">
        <f t="shared" ref="T49" si="297">R49*S49</f>
        <v>273.80000000000109</v>
      </c>
      <c r="U49" s="19">
        <v>4.3499999999999996</v>
      </c>
      <c r="V49" s="19">
        <v>0.94</v>
      </c>
      <c r="W49" s="25"/>
    </row>
    <row r="50" spans="1:23" ht="15.75" x14ac:dyDescent="0.25">
      <c r="A50" s="12">
        <v>41</v>
      </c>
      <c r="B50" s="22" t="s">
        <v>299</v>
      </c>
      <c r="C50" s="19" t="s">
        <v>201</v>
      </c>
      <c r="D50" s="19" t="s">
        <v>124</v>
      </c>
      <c r="E50" s="12">
        <v>11212.8</v>
      </c>
      <c r="F50" s="17">
        <f t="shared" ref="F50" si="298">E49</f>
        <v>10830.5</v>
      </c>
      <c r="G50" s="19">
        <f t="shared" ref="G50" si="299">E50-F50</f>
        <v>382.29999999999927</v>
      </c>
      <c r="H50" s="91">
        <v>1</v>
      </c>
      <c r="I50" s="19">
        <f t="shared" ref="I50" si="300">G50*H50</f>
        <v>382.29999999999927</v>
      </c>
      <c r="J50" s="12">
        <v>6233.8</v>
      </c>
      <c r="K50" s="17">
        <f t="shared" ref="K50" si="301">J49</f>
        <v>6074.8</v>
      </c>
      <c r="L50" s="19">
        <f t="shared" ref="L50" si="302">J50-K50</f>
        <v>159</v>
      </c>
      <c r="M50" s="17">
        <f t="shared" si="89"/>
        <v>1</v>
      </c>
      <c r="N50" s="19">
        <f t="shared" ref="N50" si="303">L50*M50</f>
        <v>159</v>
      </c>
      <c r="O50" s="17">
        <f t="shared" ref="O50" si="304">N50-I50</f>
        <v>-223.29999999999927</v>
      </c>
      <c r="P50" s="12">
        <v>11321.7</v>
      </c>
      <c r="Q50" s="17">
        <f t="shared" ref="Q50" si="305">P49</f>
        <v>11013.7</v>
      </c>
      <c r="R50" s="19">
        <f t="shared" ref="R50" si="306">P50-Q50</f>
        <v>308</v>
      </c>
      <c r="S50" s="17">
        <f t="shared" si="94"/>
        <v>1</v>
      </c>
      <c r="T50" s="19">
        <f t="shared" ref="T50" si="307">R50*S50</f>
        <v>308</v>
      </c>
      <c r="U50" s="19">
        <v>3.4</v>
      </c>
      <c r="V50" s="19">
        <v>0.99</v>
      </c>
      <c r="W50" s="25"/>
    </row>
    <row r="51" spans="1:23" ht="15.75" x14ac:dyDescent="0.25">
      <c r="A51" s="105">
        <v>42</v>
      </c>
      <c r="B51" s="22" t="s">
        <v>300</v>
      </c>
      <c r="C51" s="111" t="s">
        <v>201</v>
      </c>
      <c r="D51" s="111" t="s">
        <v>124</v>
      </c>
      <c r="E51" s="105">
        <v>11749.7</v>
      </c>
      <c r="F51" s="106">
        <f t="shared" ref="F51:F54" si="308">E50</f>
        <v>11212.8</v>
      </c>
      <c r="G51" s="111">
        <f t="shared" ref="G51:G54" si="309">E51-F51</f>
        <v>536.90000000000146</v>
      </c>
      <c r="H51" s="91">
        <v>1</v>
      </c>
      <c r="I51" s="111">
        <f t="shared" ref="I51:I54" si="310">G51*H51</f>
        <v>536.90000000000146</v>
      </c>
      <c r="J51" s="105">
        <v>6352</v>
      </c>
      <c r="K51" s="106">
        <f t="shared" ref="K51:K54" si="311">J50</f>
        <v>6233.8</v>
      </c>
      <c r="L51" s="111">
        <f t="shared" ref="L51:L54" si="312">J51-K51</f>
        <v>118.19999999999982</v>
      </c>
      <c r="M51" s="106">
        <f t="shared" si="89"/>
        <v>1</v>
      </c>
      <c r="N51" s="111">
        <f t="shared" ref="N51:N54" si="313">L51*M51</f>
        <v>118.19999999999982</v>
      </c>
      <c r="O51" s="106">
        <f t="shared" ref="O51:O54" si="314">N51-I51</f>
        <v>-418.70000000000164</v>
      </c>
      <c r="P51" s="105">
        <v>11561.7</v>
      </c>
      <c r="Q51" s="106">
        <f t="shared" ref="Q51:Q54" si="315">P50</f>
        <v>11321.7</v>
      </c>
      <c r="R51" s="111">
        <f t="shared" ref="R51:R54" si="316">P51-Q51</f>
        <v>240</v>
      </c>
      <c r="S51" s="106">
        <f t="shared" si="94"/>
        <v>1</v>
      </c>
      <c r="T51" s="111">
        <f t="shared" ref="T51:T54" si="317">R51*S51</f>
        <v>240</v>
      </c>
      <c r="U51" s="111">
        <v>3.44</v>
      </c>
      <c r="V51" s="111">
        <v>0.96</v>
      </c>
      <c r="W51" s="25"/>
    </row>
    <row r="52" spans="1:23" ht="15.75" x14ac:dyDescent="0.25">
      <c r="A52" s="105">
        <v>43</v>
      </c>
      <c r="B52" s="22" t="s">
        <v>301</v>
      </c>
      <c r="C52" s="111" t="s">
        <v>201</v>
      </c>
      <c r="D52" s="111" t="s">
        <v>124</v>
      </c>
      <c r="E52" s="105">
        <v>12332.8</v>
      </c>
      <c r="F52" s="106">
        <f t="shared" si="308"/>
        <v>11749.7</v>
      </c>
      <c r="G52" s="111">
        <f t="shared" si="309"/>
        <v>583.09999999999854</v>
      </c>
      <c r="H52" s="91">
        <v>1</v>
      </c>
      <c r="I52" s="111">
        <f t="shared" si="310"/>
        <v>583.09999999999854</v>
      </c>
      <c r="J52" s="105">
        <v>6472.6</v>
      </c>
      <c r="K52" s="106">
        <f t="shared" si="311"/>
        <v>6352</v>
      </c>
      <c r="L52" s="111">
        <f t="shared" si="312"/>
        <v>120.60000000000036</v>
      </c>
      <c r="M52" s="106">
        <f t="shared" si="89"/>
        <v>1</v>
      </c>
      <c r="N52" s="111">
        <f t="shared" si="313"/>
        <v>120.60000000000036</v>
      </c>
      <c r="O52" s="106">
        <f t="shared" si="314"/>
        <v>-462.49999999999818</v>
      </c>
      <c r="P52" s="105">
        <v>11809.8</v>
      </c>
      <c r="Q52" s="106">
        <f t="shared" si="315"/>
        <v>11561.7</v>
      </c>
      <c r="R52" s="111">
        <f t="shared" si="316"/>
        <v>248.09999999999854</v>
      </c>
      <c r="S52" s="106">
        <f t="shared" si="94"/>
        <v>1</v>
      </c>
      <c r="T52" s="111">
        <f t="shared" si="317"/>
        <v>248.09999999999854</v>
      </c>
      <c r="U52" s="111">
        <v>4.25</v>
      </c>
      <c r="V52" s="111">
        <v>0.98</v>
      </c>
      <c r="W52" s="25"/>
    </row>
    <row r="53" spans="1:23" ht="15.75" x14ac:dyDescent="0.25">
      <c r="A53" s="105">
        <v>44</v>
      </c>
      <c r="B53" s="22" t="s">
        <v>302</v>
      </c>
      <c r="C53" s="111" t="s">
        <v>201</v>
      </c>
      <c r="D53" s="111" t="s">
        <v>124</v>
      </c>
      <c r="E53" s="105">
        <v>12927.9</v>
      </c>
      <c r="F53" s="106">
        <f t="shared" si="308"/>
        <v>12332.8</v>
      </c>
      <c r="G53" s="111">
        <f t="shared" si="309"/>
        <v>595.10000000000036</v>
      </c>
      <c r="H53" s="91">
        <v>1</v>
      </c>
      <c r="I53" s="111">
        <f t="shared" si="310"/>
        <v>595.10000000000036</v>
      </c>
      <c r="J53" s="105">
        <v>6637.7</v>
      </c>
      <c r="K53" s="106">
        <f t="shared" si="311"/>
        <v>6472.6</v>
      </c>
      <c r="L53" s="111">
        <f t="shared" si="312"/>
        <v>165.09999999999945</v>
      </c>
      <c r="M53" s="106">
        <f t="shared" si="89"/>
        <v>1</v>
      </c>
      <c r="N53" s="111">
        <f t="shared" si="313"/>
        <v>165.09999999999945</v>
      </c>
      <c r="O53" s="106">
        <f t="shared" si="314"/>
        <v>-430.00000000000091</v>
      </c>
      <c r="P53" s="105">
        <v>12103.3</v>
      </c>
      <c r="Q53" s="106">
        <f t="shared" si="315"/>
        <v>11809.8</v>
      </c>
      <c r="R53" s="111">
        <f t="shared" si="316"/>
        <v>293.5</v>
      </c>
      <c r="S53" s="106">
        <f t="shared" si="94"/>
        <v>1</v>
      </c>
      <c r="T53" s="111">
        <f t="shared" si="317"/>
        <v>293.5</v>
      </c>
      <c r="U53" s="111">
        <v>3.39</v>
      </c>
      <c r="V53" s="111">
        <v>0.86</v>
      </c>
      <c r="W53" s="25"/>
    </row>
    <row r="54" spans="1:23" ht="15.75" x14ac:dyDescent="0.25">
      <c r="A54" s="120">
        <v>45</v>
      </c>
      <c r="B54" s="22" t="s">
        <v>303</v>
      </c>
      <c r="C54" s="118" t="s">
        <v>201</v>
      </c>
      <c r="D54" s="118" t="s">
        <v>124</v>
      </c>
      <c r="E54" s="120">
        <v>13475.2</v>
      </c>
      <c r="F54" s="119">
        <f t="shared" si="308"/>
        <v>12927.9</v>
      </c>
      <c r="G54" s="118">
        <f t="shared" si="309"/>
        <v>547.30000000000109</v>
      </c>
      <c r="H54" s="91">
        <v>1</v>
      </c>
      <c r="I54" s="118">
        <f t="shared" si="310"/>
        <v>547.30000000000109</v>
      </c>
      <c r="J54" s="120">
        <v>6824.5</v>
      </c>
      <c r="K54" s="119">
        <f t="shared" si="311"/>
        <v>6637.7</v>
      </c>
      <c r="L54" s="118">
        <f t="shared" si="312"/>
        <v>186.80000000000018</v>
      </c>
      <c r="M54" s="119">
        <f t="shared" si="89"/>
        <v>1</v>
      </c>
      <c r="N54" s="118">
        <f t="shared" si="313"/>
        <v>186.80000000000018</v>
      </c>
      <c r="O54" s="119">
        <f t="shared" si="314"/>
        <v>-360.50000000000091</v>
      </c>
      <c r="P54" s="120">
        <v>12437</v>
      </c>
      <c r="Q54" s="119">
        <f t="shared" si="315"/>
        <v>12103.3</v>
      </c>
      <c r="R54" s="118">
        <f t="shared" si="316"/>
        <v>333.70000000000073</v>
      </c>
      <c r="S54" s="119">
        <f t="shared" si="94"/>
        <v>1</v>
      </c>
      <c r="T54" s="118">
        <f t="shared" si="317"/>
        <v>333.70000000000073</v>
      </c>
      <c r="U54" s="118">
        <v>3.54</v>
      </c>
      <c r="V54" s="118">
        <v>0.91</v>
      </c>
      <c r="W54" s="25"/>
    </row>
    <row r="55" spans="1:23" ht="15.75" x14ac:dyDescent="0.25">
      <c r="A55" s="120">
        <v>46</v>
      </c>
      <c r="B55" s="116" t="s">
        <v>305</v>
      </c>
      <c r="C55" s="118" t="s">
        <v>201</v>
      </c>
      <c r="D55" s="118" t="s">
        <v>124</v>
      </c>
      <c r="E55" s="120">
        <v>14027.2</v>
      </c>
      <c r="F55" s="119">
        <f t="shared" ref="F55" si="318">E54</f>
        <v>13475.2</v>
      </c>
      <c r="G55" s="118">
        <f t="shared" ref="G55" si="319">E55-F55</f>
        <v>552</v>
      </c>
      <c r="H55" s="91">
        <v>1</v>
      </c>
      <c r="I55" s="118">
        <f t="shared" ref="I55" si="320">G55*H55</f>
        <v>552</v>
      </c>
      <c r="J55" s="120">
        <v>6988.3</v>
      </c>
      <c r="K55" s="119">
        <f t="shared" ref="K55" si="321">J54</f>
        <v>6824.5</v>
      </c>
      <c r="L55" s="118">
        <f t="shared" ref="L55" si="322">J55-K55</f>
        <v>163.80000000000018</v>
      </c>
      <c r="M55" s="119">
        <f t="shared" si="89"/>
        <v>1</v>
      </c>
      <c r="N55" s="118">
        <f t="shared" ref="N55" si="323">L55*M55</f>
        <v>163.80000000000018</v>
      </c>
      <c r="O55" s="119">
        <f t="shared" ref="O55" si="324">N55-I55</f>
        <v>-388.19999999999982</v>
      </c>
      <c r="P55" s="120">
        <v>12777.1</v>
      </c>
      <c r="Q55" s="119">
        <f t="shared" ref="Q55" si="325">P54</f>
        <v>12437</v>
      </c>
      <c r="R55" s="118">
        <f t="shared" ref="R55" si="326">P55-Q55</f>
        <v>340.10000000000036</v>
      </c>
      <c r="S55" s="119">
        <f t="shared" si="94"/>
        <v>1</v>
      </c>
      <c r="T55" s="118">
        <f t="shared" ref="T55" si="327">R55*S55</f>
        <v>340.10000000000036</v>
      </c>
      <c r="U55" s="118">
        <v>4.26</v>
      </c>
      <c r="V55" s="118">
        <v>0.99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201</v>
      </c>
      <c r="D57" s="123" t="s">
        <v>124</v>
      </c>
      <c r="E57" s="125">
        <v>14332</v>
      </c>
      <c r="F57" s="124">
        <f t="shared" ref="F57" si="328">E55</f>
        <v>14027.2</v>
      </c>
      <c r="G57" s="123">
        <f t="shared" ref="G57" si="329">E57-F57</f>
        <v>304.79999999999927</v>
      </c>
      <c r="H57" s="91">
        <v>1</v>
      </c>
      <c r="I57" s="123">
        <f t="shared" ref="I57" si="330">G57*H57</f>
        <v>304.79999999999927</v>
      </c>
      <c r="J57" s="125">
        <v>7162.5</v>
      </c>
      <c r="K57" s="124">
        <f t="shared" ref="K57" si="331">J55</f>
        <v>6988.3</v>
      </c>
      <c r="L57" s="123">
        <f t="shared" ref="L57" si="332">J57-K57</f>
        <v>174.19999999999982</v>
      </c>
      <c r="M57" s="124">
        <f>M55</f>
        <v>1</v>
      </c>
      <c r="N57" s="123">
        <f t="shared" ref="N57" si="333">L57*M57</f>
        <v>174.19999999999982</v>
      </c>
      <c r="O57" s="124">
        <f t="shared" ref="O57" si="334">N57-I57</f>
        <v>-130.59999999999945</v>
      </c>
      <c r="P57" s="125">
        <v>13091.5</v>
      </c>
      <c r="Q57" s="124">
        <f t="shared" ref="Q57" si="335">P55</f>
        <v>12777.1</v>
      </c>
      <c r="R57" s="123">
        <f t="shared" ref="R57" si="336">P57-Q57</f>
        <v>314.39999999999964</v>
      </c>
      <c r="S57" s="124">
        <f>S55</f>
        <v>1</v>
      </c>
      <c r="T57" s="123">
        <f t="shared" ref="T57" si="337">R57*S57</f>
        <v>314.39999999999964</v>
      </c>
      <c r="U57" s="123">
        <v>3.39</v>
      </c>
      <c r="V57" s="123">
        <v>0.99</v>
      </c>
      <c r="W57" s="25"/>
    </row>
    <row r="58" spans="1:23" ht="15.75" x14ac:dyDescent="0.25">
      <c r="A58" s="126">
        <v>48</v>
      </c>
      <c r="B58" s="116" t="s">
        <v>307</v>
      </c>
      <c r="C58" s="129" t="s">
        <v>201</v>
      </c>
      <c r="D58" s="129" t="s">
        <v>124</v>
      </c>
      <c r="E58" s="126">
        <v>14506.5</v>
      </c>
      <c r="F58" s="127">
        <f t="shared" ref="F58" si="338">E57</f>
        <v>14332</v>
      </c>
      <c r="G58" s="129">
        <f t="shared" ref="G58" si="339">E58-F58</f>
        <v>174.5</v>
      </c>
      <c r="H58" s="91">
        <v>1</v>
      </c>
      <c r="I58" s="129">
        <f t="shared" ref="I58" si="340">G58*H58</f>
        <v>174.5</v>
      </c>
      <c r="J58" s="126">
        <v>7377.3</v>
      </c>
      <c r="K58" s="127">
        <f t="shared" ref="K58" si="341">J57</f>
        <v>7162.5</v>
      </c>
      <c r="L58" s="129">
        <f t="shared" ref="L58" si="342">J58-K58</f>
        <v>214.80000000000018</v>
      </c>
      <c r="M58" s="127">
        <f t="shared" si="89"/>
        <v>1</v>
      </c>
      <c r="N58" s="129">
        <f t="shared" ref="N58" si="343">L58*M58</f>
        <v>214.80000000000018</v>
      </c>
      <c r="O58" s="127">
        <f t="shared" ref="O58" si="344">N58-I58</f>
        <v>40.300000000000182</v>
      </c>
      <c r="P58" s="126">
        <v>13409.8</v>
      </c>
      <c r="Q58" s="127">
        <f t="shared" ref="Q58" si="345">P57</f>
        <v>13091.5</v>
      </c>
      <c r="R58" s="129">
        <f t="shared" ref="R58" si="346">P58-Q58</f>
        <v>318.29999999999927</v>
      </c>
      <c r="S58" s="127">
        <f t="shared" si="94"/>
        <v>1</v>
      </c>
      <c r="T58" s="129">
        <f t="shared" ref="T58" si="347">R58*S58</f>
        <v>318.29999999999927</v>
      </c>
      <c r="U58" s="129">
        <v>3.78</v>
      </c>
      <c r="V58" s="129">
        <v>0.99</v>
      </c>
      <c r="W58" s="25"/>
    </row>
    <row r="59" spans="1:23" ht="15.75" x14ac:dyDescent="0.25">
      <c r="A59" s="135">
        <v>49</v>
      </c>
      <c r="B59" s="116" t="s">
        <v>309</v>
      </c>
      <c r="C59" s="138" t="s">
        <v>201</v>
      </c>
      <c r="D59" s="138" t="s">
        <v>124</v>
      </c>
      <c r="E59" s="135">
        <v>15073.2</v>
      </c>
      <c r="F59" s="136">
        <f t="shared" ref="F59" si="348">E58</f>
        <v>14506.5</v>
      </c>
      <c r="G59" s="138">
        <f t="shared" ref="G59:G61" si="349">E59-F59</f>
        <v>566.70000000000073</v>
      </c>
      <c r="H59" s="91">
        <v>1</v>
      </c>
      <c r="I59" s="138">
        <f t="shared" ref="I59:I61" si="350">G59*H59</f>
        <v>566.70000000000073</v>
      </c>
      <c r="J59" s="135">
        <v>7490.5</v>
      </c>
      <c r="K59" s="136">
        <f t="shared" ref="K59" si="351">J58</f>
        <v>7377.3</v>
      </c>
      <c r="L59" s="138">
        <f t="shared" ref="L59:L61" si="352">J59-K59</f>
        <v>113.19999999999982</v>
      </c>
      <c r="M59" s="136">
        <f t="shared" si="89"/>
        <v>1</v>
      </c>
      <c r="N59" s="138">
        <f t="shared" ref="N59:N61" si="353">L59*M59</f>
        <v>113.19999999999982</v>
      </c>
      <c r="O59" s="136">
        <f t="shared" ref="O59:O61" si="354">N59-I59</f>
        <v>-453.50000000000091</v>
      </c>
      <c r="P59" s="135">
        <v>13694.6</v>
      </c>
      <c r="Q59" s="136">
        <f t="shared" ref="Q59" si="355">P58</f>
        <v>13409.8</v>
      </c>
      <c r="R59" s="138">
        <f t="shared" ref="R59:R61" si="356">P59-Q59</f>
        <v>284.80000000000109</v>
      </c>
      <c r="S59" s="136">
        <f t="shared" si="94"/>
        <v>1</v>
      </c>
      <c r="T59" s="138">
        <f t="shared" ref="T59:T61" si="357">R59*S59</f>
        <v>284.80000000000109</v>
      </c>
      <c r="U59" s="138">
        <v>3.77</v>
      </c>
      <c r="V59" s="138">
        <v>0.98</v>
      </c>
      <c r="W59" s="25"/>
    </row>
    <row r="60" spans="1:23" ht="15.75" x14ac:dyDescent="0.25">
      <c r="A60" s="146">
        <v>50</v>
      </c>
      <c r="B60" s="116" t="s">
        <v>310</v>
      </c>
      <c r="C60" s="144" t="s">
        <v>201</v>
      </c>
      <c r="D60" s="144" t="s">
        <v>124</v>
      </c>
      <c r="E60" s="146">
        <v>15853.5</v>
      </c>
      <c r="F60" s="145">
        <f t="shared" ref="F60" si="358">E58</f>
        <v>14506.5</v>
      </c>
      <c r="G60" s="144">
        <f t="shared" si="349"/>
        <v>1347</v>
      </c>
      <c r="H60" s="91">
        <v>1</v>
      </c>
      <c r="I60" s="144">
        <f t="shared" si="350"/>
        <v>1347</v>
      </c>
      <c r="J60" s="146">
        <v>7549.7</v>
      </c>
      <c r="K60" s="145">
        <f t="shared" ref="K60" si="359">J58</f>
        <v>7377.3</v>
      </c>
      <c r="L60" s="144">
        <f t="shared" si="352"/>
        <v>172.39999999999964</v>
      </c>
      <c r="M60" s="145">
        <f>M58</f>
        <v>1</v>
      </c>
      <c r="N60" s="144">
        <f t="shared" si="353"/>
        <v>172.39999999999964</v>
      </c>
      <c r="O60" s="145">
        <f t="shared" si="354"/>
        <v>-1174.6000000000004</v>
      </c>
      <c r="P60" s="146">
        <v>13922.7</v>
      </c>
      <c r="Q60" s="145">
        <f t="shared" ref="Q60" si="360">P58</f>
        <v>13409.8</v>
      </c>
      <c r="R60" s="144">
        <f t="shared" si="356"/>
        <v>512.90000000000146</v>
      </c>
      <c r="S60" s="145">
        <f>S58</f>
        <v>1</v>
      </c>
      <c r="T60" s="144">
        <f t="shared" si="357"/>
        <v>512.90000000000146</v>
      </c>
      <c r="U60" s="144">
        <v>5.0599999999999996</v>
      </c>
      <c r="V60" s="144">
        <v>0.99</v>
      </c>
      <c r="W60" s="25"/>
    </row>
    <row r="61" spans="1:23" ht="15.75" x14ac:dyDescent="0.25">
      <c r="A61" s="151">
        <v>51</v>
      </c>
      <c r="B61" s="116" t="s">
        <v>316</v>
      </c>
      <c r="C61" s="149" t="s">
        <v>201</v>
      </c>
      <c r="D61" s="149" t="s">
        <v>124</v>
      </c>
      <c r="E61" s="151">
        <v>16686.2</v>
      </c>
      <c r="F61" s="150">
        <v>15853.5</v>
      </c>
      <c r="G61" s="149">
        <f t="shared" si="349"/>
        <v>832.70000000000073</v>
      </c>
      <c r="H61" s="91">
        <v>1</v>
      </c>
      <c r="I61" s="149">
        <f t="shared" si="350"/>
        <v>832.70000000000073</v>
      </c>
      <c r="J61" s="151">
        <v>7658.7</v>
      </c>
      <c r="K61" s="150">
        <v>7549.7</v>
      </c>
      <c r="L61" s="149">
        <f t="shared" si="352"/>
        <v>109</v>
      </c>
      <c r="M61" s="150">
        <f>M58</f>
        <v>1</v>
      </c>
      <c r="N61" s="149">
        <f t="shared" si="353"/>
        <v>109</v>
      </c>
      <c r="O61" s="150">
        <f t="shared" si="354"/>
        <v>-723.70000000000073</v>
      </c>
      <c r="P61" s="151">
        <v>14236.4</v>
      </c>
      <c r="Q61" s="150">
        <v>13923</v>
      </c>
      <c r="R61" s="149">
        <f t="shared" si="356"/>
        <v>313.39999999999964</v>
      </c>
      <c r="S61" s="150">
        <f>S58</f>
        <v>1</v>
      </c>
      <c r="T61" s="149">
        <f t="shared" si="357"/>
        <v>313.39999999999964</v>
      </c>
      <c r="U61" s="149">
        <v>4.87</v>
      </c>
      <c r="V61" s="149">
        <v>0.8</v>
      </c>
      <c r="W61" s="25"/>
    </row>
    <row r="62" spans="1:23" ht="15.75" x14ac:dyDescent="0.25">
      <c r="A62" s="155">
        <v>52</v>
      </c>
      <c r="B62" s="116" t="s">
        <v>319</v>
      </c>
      <c r="C62" s="142" t="s">
        <v>201</v>
      </c>
      <c r="D62" s="142" t="s">
        <v>124</v>
      </c>
      <c r="E62" s="139">
        <v>17330</v>
      </c>
      <c r="F62" s="140">
        <v>16686</v>
      </c>
      <c r="G62" s="142">
        <f t="shared" ref="G62:G64" si="361">E62-F62</f>
        <v>644</v>
      </c>
      <c r="H62" s="91">
        <v>1</v>
      </c>
      <c r="I62" s="142">
        <f t="shared" ref="I62:I64" si="362">G62*H62</f>
        <v>644</v>
      </c>
      <c r="J62" s="139">
        <v>7782</v>
      </c>
      <c r="K62" s="140">
        <v>7658</v>
      </c>
      <c r="L62" s="142">
        <f t="shared" ref="L62:L64" si="363">J62-K62</f>
        <v>124</v>
      </c>
      <c r="M62" s="140">
        <f>M59</f>
        <v>1</v>
      </c>
      <c r="N62" s="142">
        <f t="shared" ref="N62:N64" si="364">L62*M62</f>
        <v>124</v>
      </c>
      <c r="O62" s="140">
        <f t="shared" ref="O62:O64" si="365">N62-I62</f>
        <v>-520</v>
      </c>
      <c r="P62" s="139">
        <v>14537</v>
      </c>
      <c r="Q62" s="140">
        <v>14236</v>
      </c>
      <c r="R62" s="142">
        <f t="shared" ref="R62:R64" si="366">P62-Q62</f>
        <v>301</v>
      </c>
      <c r="S62" s="140">
        <f>S59</f>
        <v>1</v>
      </c>
      <c r="T62" s="142">
        <f t="shared" ref="T62:T64" si="367">R62*S62</f>
        <v>301</v>
      </c>
      <c r="U62" s="142">
        <v>4.76</v>
      </c>
      <c r="V62" s="142">
        <v>0.8</v>
      </c>
      <c r="W62" s="25"/>
    </row>
    <row r="63" spans="1:23" ht="15.75" x14ac:dyDescent="0.25">
      <c r="A63" s="170">
        <v>53</v>
      </c>
      <c r="B63" s="116" t="s">
        <v>321</v>
      </c>
      <c r="C63" s="168" t="s">
        <v>201</v>
      </c>
      <c r="D63" s="168" t="s">
        <v>124</v>
      </c>
      <c r="E63" s="170">
        <v>17649.8</v>
      </c>
      <c r="F63" s="170">
        <v>17330</v>
      </c>
      <c r="G63" s="168">
        <f t="shared" si="361"/>
        <v>319.79999999999927</v>
      </c>
      <c r="H63" s="91">
        <v>1</v>
      </c>
      <c r="I63" s="168">
        <f t="shared" si="362"/>
        <v>319.79999999999927</v>
      </c>
      <c r="J63" s="170">
        <v>7951.9</v>
      </c>
      <c r="K63" s="170">
        <v>7782</v>
      </c>
      <c r="L63" s="168">
        <f t="shared" si="363"/>
        <v>169.89999999999964</v>
      </c>
      <c r="M63" s="169">
        <f>M59</f>
        <v>1</v>
      </c>
      <c r="N63" s="168">
        <f t="shared" si="364"/>
        <v>169.89999999999964</v>
      </c>
      <c r="O63" s="169">
        <f t="shared" si="365"/>
        <v>-149.89999999999964</v>
      </c>
      <c r="P63" s="170">
        <v>14834.4</v>
      </c>
      <c r="Q63" s="170">
        <v>14537</v>
      </c>
      <c r="R63" s="168">
        <f t="shared" si="366"/>
        <v>297.39999999999964</v>
      </c>
      <c r="S63" s="169">
        <f>S59</f>
        <v>1</v>
      </c>
      <c r="T63" s="168">
        <f t="shared" si="367"/>
        <v>297.39999999999964</v>
      </c>
      <c r="U63" s="168">
        <v>4.0199999999999996</v>
      </c>
      <c r="V63" s="168">
        <v>0.98</v>
      </c>
      <c r="W63" s="25"/>
    </row>
    <row r="64" spans="1:23" ht="15.75" x14ac:dyDescent="0.25">
      <c r="A64" s="175">
        <v>54</v>
      </c>
      <c r="B64" s="116" t="s">
        <v>327</v>
      </c>
      <c r="C64" s="178" t="s">
        <v>201</v>
      </c>
      <c r="D64" s="178" t="s">
        <v>124</v>
      </c>
      <c r="E64" s="175">
        <v>18264.900000000001</v>
      </c>
      <c r="F64" s="175">
        <v>17649.8</v>
      </c>
      <c r="G64" s="178">
        <f t="shared" si="361"/>
        <v>615.10000000000218</v>
      </c>
      <c r="H64" s="91">
        <v>1</v>
      </c>
      <c r="I64" s="178">
        <f t="shared" si="362"/>
        <v>615.10000000000218</v>
      </c>
      <c r="J64" s="175">
        <v>8085.3</v>
      </c>
      <c r="K64" s="175">
        <v>7951.9</v>
      </c>
      <c r="L64" s="178">
        <f t="shared" si="363"/>
        <v>133.40000000000055</v>
      </c>
      <c r="M64" s="176">
        <f>M59</f>
        <v>1</v>
      </c>
      <c r="N64" s="178">
        <f t="shared" si="364"/>
        <v>133.40000000000055</v>
      </c>
      <c r="O64" s="176">
        <f t="shared" si="365"/>
        <v>-481.70000000000164</v>
      </c>
      <c r="P64" s="175">
        <v>15083</v>
      </c>
      <c r="Q64" s="175">
        <v>14834</v>
      </c>
      <c r="R64" s="178">
        <f t="shared" si="366"/>
        <v>249</v>
      </c>
      <c r="S64" s="176">
        <f>S59</f>
        <v>1</v>
      </c>
      <c r="T64" s="178">
        <f t="shared" si="367"/>
        <v>249</v>
      </c>
      <c r="U64" s="178">
        <v>4.82</v>
      </c>
      <c r="V64" s="178">
        <v>0.38</v>
      </c>
      <c r="W64" s="25"/>
    </row>
    <row r="65" spans="1:23" ht="15.75" x14ac:dyDescent="0.25">
      <c r="A65" s="155">
        <v>55</v>
      </c>
      <c r="B65" s="116" t="s">
        <v>330</v>
      </c>
      <c r="C65" s="158" t="s">
        <v>201</v>
      </c>
      <c r="D65" s="158" t="s">
        <v>124</v>
      </c>
      <c r="E65" s="155">
        <v>18990.099999999999</v>
      </c>
      <c r="F65" s="175">
        <v>18264.900000000001</v>
      </c>
      <c r="G65" s="158">
        <f t="shared" ref="G65:G66" si="368">E65-F65</f>
        <v>725.19999999999709</v>
      </c>
      <c r="H65" s="91">
        <v>1</v>
      </c>
      <c r="I65" s="158">
        <f t="shared" ref="I65:I66" si="369">G65*H65</f>
        <v>725.19999999999709</v>
      </c>
      <c r="J65" s="155">
        <v>8189.9</v>
      </c>
      <c r="K65" s="175">
        <v>8085.3</v>
      </c>
      <c r="L65" s="158">
        <f t="shared" ref="L65:L66" si="370">J65-K65</f>
        <v>104.59999999999945</v>
      </c>
      <c r="M65" s="156">
        <f>M60</f>
        <v>1</v>
      </c>
      <c r="N65" s="158">
        <f t="shared" ref="N65:N66" si="371">L65*M65</f>
        <v>104.59999999999945</v>
      </c>
      <c r="O65" s="156">
        <f t="shared" ref="O65:O66" si="372">N65-I65</f>
        <v>-620.59999999999764</v>
      </c>
      <c r="P65" s="155">
        <v>15320</v>
      </c>
      <c r="Q65" s="175">
        <v>15083</v>
      </c>
      <c r="R65" s="158">
        <f t="shared" ref="R65:R66" si="373">P65-Q65</f>
        <v>237</v>
      </c>
      <c r="S65" s="156">
        <f>S60</f>
        <v>1</v>
      </c>
      <c r="T65" s="158">
        <f t="shared" ref="T65:T66" si="374">R65*S65</f>
        <v>237</v>
      </c>
      <c r="U65" s="158">
        <v>4.82</v>
      </c>
      <c r="V65" s="158">
        <v>0.38</v>
      </c>
      <c r="W65" s="25"/>
    </row>
    <row r="66" spans="1:23" ht="15.75" x14ac:dyDescent="0.25">
      <c r="A66" s="183">
        <v>56</v>
      </c>
      <c r="B66" s="116" t="s">
        <v>331</v>
      </c>
      <c r="C66" s="186" t="s">
        <v>201</v>
      </c>
      <c r="D66" s="186" t="s">
        <v>124</v>
      </c>
      <c r="E66" s="183">
        <v>19747.7</v>
      </c>
      <c r="F66" s="183">
        <v>18990.099999999999</v>
      </c>
      <c r="G66" s="186">
        <f t="shared" si="368"/>
        <v>757.60000000000218</v>
      </c>
      <c r="H66" s="91">
        <v>1</v>
      </c>
      <c r="I66" s="186">
        <f t="shared" si="369"/>
        <v>757.60000000000218</v>
      </c>
      <c r="J66" s="183">
        <v>8297.6</v>
      </c>
      <c r="K66" s="183">
        <v>8189.9</v>
      </c>
      <c r="L66" s="186">
        <f t="shared" si="370"/>
        <v>107.70000000000073</v>
      </c>
      <c r="M66" s="184">
        <f>M60</f>
        <v>1</v>
      </c>
      <c r="N66" s="186">
        <f t="shared" si="371"/>
        <v>107.70000000000073</v>
      </c>
      <c r="O66" s="184">
        <f t="shared" si="372"/>
        <v>-649.90000000000146</v>
      </c>
      <c r="P66" s="183">
        <v>15581.1</v>
      </c>
      <c r="Q66" s="183">
        <v>15320</v>
      </c>
      <c r="R66" s="186">
        <f t="shared" si="373"/>
        <v>261.10000000000036</v>
      </c>
      <c r="S66" s="184">
        <f>S60</f>
        <v>1</v>
      </c>
      <c r="T66" s="186">
        <f t="shared" si="374"/>
        <v>261.10000000000036</v>
      </c>
      <c r="U66" s="186">
        <v>4.1100000000000003</v>
      </c>
      <c r="V66" s="186">
        <v>0.99</v>
      </c>
      <c r="W66" s="25"/>
    </row>
    <row r="67" spans="1:23" ht="15.75" x14ac:dyDescent="0.25">
      <c r="A67" s="182">
        <v>57</v>
      </c>
      <c r="B67" s="116" t="s">
        <v>332</v>
      </c>
      <c r="C67" s="180" t="s">
        <v>201</v>
      </c>
      <c r="D67" s="180" t="s">
        <v>124</v>
      </c>
      <c r="E67" s="182">
        <v>20488</v>
      </c>
      <c r="F67" s="182">
        <v>19747.7</v>
      </c>
      <c r="G67" s="180">
        <f t="shared" ref="G67" si="375">E67-F67</f>
        <v>740.29999999999927</v>
      </c>
      <c r="H67" s="91">
        <v>1</v>
      </c>
      <c r="I67" s="180">
        <f t="shared" ref="I67" si="376">G67*H67</f>
        <v>740.29999999999927</v>
      </c>
      <c r="J67" s="182">
        <v>8452.4</v>
      </c>
      <c r="K67" s="182">
        <v>8297.6</v>
      </c>
      <c r="L67" s="180">
        <f t="shared" ref="L67" si="377">J67-K67</f>
        <v>154.79999999999927</v>
      </c>
      <c r="M67" s="181">
        <f>M61</f>
        <v>1</v>
      </c>
      <c r="N67" s="180">
        <f t="shared" ref="N67" si="378">L67*M67</f>
        <v>154.79999999999927</v>
      </c>
      <c r="O67" s="181">
        <f t="shared" ref="O67" si="379">N67-I67</f>
        <v>-585.5</v>
      </c>
      <c r="P67" s="182">
        <v>15905</v>
      </c>
      <c r="Q67" s="182">
        <v>15581</v>
      </c>
      <c r="R67" s="180">
        <f t="shared" ref="R67" si="380">P67-Q67</f>
        <v>324</v>
      </c>
      <c r="S67" s="181">
        <f>S61</f>
        <v>1</v>
      </c>
      <c r="T67" s="180">
        <f t="shared" ref="T67" si="381">R67*S67</f>
        <v>324</v>
      </c>
      <c r="U67" s="180">
        <v>4.57</v>
      </c>
      <c r="V67" s="180">
        <v>0.99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4"/>
      <c r="H68" s="162" t="s">
        <v>121</v>
      </c>
      <c r="I68" s="164">
        <f>SUM(I57:I65)</f>
        <v>5529.7999999999993</v>
      </c>
      <c r="J68" s="164"/>
      <c r="K68" s="162"/>
      <c r="L68" s="164"/>
      <c r="M68" s="162"/>
      <c r="N68" s="164">
        <f>SUM(N57:N65)</f>
        <v>1315.4999999999991</v>
      </c>
      <c r="O68" s="164">
        <f>SUM(O57:O65)</f>
        <v>-4214.3</v>
      </c>
      <c r="P68" s="164"/>
      <c r="Q68" s="162"/>
      <c r="R68" s="164"/>
      <c r="S68" s="162"/>
      <c r="T68" s="164">
        <f>SUM(T57:T65)</f>
        <v>2828.2000000000007</v>
      </c>
      <c r="U68" s="164"/>
      <c r="V68" s="164"/>
      <c r="W68" s="31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92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92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92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24"/>
      <c r="V71" s="24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92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24"/>
      <c r="V72" s="24"/>
      <c r="W72" s="25"/>
    </row>
    <row r="73" spans="1:23" ht="15.75" x14ac:dyDescent="0.25">
      <c r="A73" s="37"/>
      <c r="B73" s="78"/>
      <c r="C73" s="24"/>
      <c r="D73" s="24"/>
      <c r="E73" s="37">
        <f>E33-E29</f>
        <v>335.09999999999945</v>
      </c>
      <c r="F73" s="38">
        <f>E73/3</f>
        <v>111.69999999999982</v>
      </c>
      <c r="G73" s="24"/>
      <c r="H73" s="38"/>
      <c r="I73" s="24"/>
      <c r="J73" s="37">
        <f>J33-J29</f>
        <v>565.5</v>
      </c>
      <c r="K73" s="38">
        <f>J73/3</f>
        <v>188.5</v>
      </c>
      <c r="L73" s="24"/>
      <c r="M73" s="38"/>
      <c r="N73" s="24"/>
      <c r="O73" s="38"/>
      <c r="P73" s="37">
        <f>P33-P29</f>
        <v>925</v>
      </c>
      <c r="Q73" s="38">
        <f>P73/3</f>
        <v>308.33333333333331</v>
      </c>
      <c r="R73" s="24"/>
      <c r="S73" s="38"/>
      <c r="T73" s="24"/>
      <c r="U73" s="24"/>
      <c r="V73" s="24"/>
      <c r="W73" s="25"/>
    </row>
    <row r="74" spans="1:23" ht="15.75" x14ac:dyDescent="0.25">
      <c r="A74" s="31">
        <v>1</v>
      </c>
      <c r="B74" s="31" t="s">
        <v>23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37"/>
      <c r="Q74" s="38"/>
      <c r="R74" s="24"/>
      <c r="S74" s="38"/>
      <c r="T74" s="24"/>
      <c r="U74" s="25"/>
      <c r="V74" s="25"/>
      <c r="W74" s="25"/>
    </row>
    <row r="75" spans="1:23" ht="15.75" x14ac:dyDescent="0.25">
      <c r="A75" s="31">
        <v>2</v>
      </c>
      <c r="B75" s="31" t="s">
        <v>24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37"/>
      <c r="Q75" s="38"/>
      <c r="R75" s="24"/>
      <c r="S75" s="38"/>
      <c r="T75" s="24"/>
      <c r="U75" s="25"/>
      <c r="V75" s="25"/>
      <c r="W75" s="25"/>
    </row>
    <row r="76" spans="1:23" ht="15.75" x14ac:dyDescent="0.25">
      <c r="A76" s="31">
        <v>3</v>
      </c>
      <c r="B76" s="31" t="s">
        <v>25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37"/>
      <c r="Q76" s="38"/>
      <c r="R76" s="24"/>
      <c r="S76" s="38"/>
      <c r="T76" s="24"/>
      <c r="U76" s="25"/>
      <c r="V76" s="25"/>
      <c r="W76" s="25"/>
    </row>
    <row r="79" spans="1:23" x14ac:dyDescent="0.25">
      <c r="R79" t="s">
        <v>65</v>
      </c>
    </row>
  </sheetData>
  <mergeCells count="20">
    <mergeCell ref="A1:V1"/>
    <mergeCell ref="A2:V2"/>
    <mergeCell ref="B3:C3"/>
    <mergeCell ref="E3:I3"/>
    <mergeCell ref="J3:L3"/>
    <mergeCell ref="M3:N3"/>
    <mergeCell ref="O3:U3"/>
    <mergeCell ref="A5:A6"/>
    <mergeCell ref="B5:B6"/>
    <mergeCell ref="C5:C6"/>
    <mergeCell ref="D5:D6"/>
    <mergeCell ref="E5:I5"/>
    <mergeCell ref="J5:N5"/>
    <mergeCell ref="O5:O6"/>
    <mergeCell ref="P5:T5"/>
    <mergeCell ref="B4:C4"/>
    <mergeCell ref="E4:I4"/>
    <mergeCell ref="J4:L4"/>
    <mergeCell ref="M4:N4"/>
    <mergeCell ref="O4:U4"/>
  </mergeCells>
  <printOptions horizontalCentered="1"/>
  <pageMargins left="0" right="0" top="0.75" bottom="0.75" header="0.3" footer="0.3"/>
  <pageSetup paperSize="9" scale="3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81"/>
  <sheetViews>
    <sheetView topLeftCell="A49" zoomScale="85" zoomScaleNormal="85" zoomScaleSheetLayoutView="70" workbookViewId="0">
      <selection activeCell="V71" sqref="V71"/>
    </sheetView>
  </sheetViews>
  <sheetFormatPr defaultRowHeight="15" x14ac:dyDescent="0.25"/>
  <cols>
    <col min="1" max="1" width="7.5703125" customWidth="1"/>
    <col min="2" max="3" width="13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184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186</v>
      </c>
      <c r="C3" s="207"/>
      <c r="D3" s="12" t="s">
        <v>6</v>
      </c>
      <c r="E3" s="201" t="s">
        <v>182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143</v>
      </c>
      <c r="W3" s="25"/>
    </row>
    <row r="4" spans="1:23" ht="15.75" x14ac:dyDescent="0.25">
      <c r="A4" s="12" t="s">
        <v>0</v>
      </c>
      <c r="B4" s="216" t="s">
        <v>183</v>
      </c>
      <c r="C4" s="216"/>
      <c r="D4" s="12" t="s">
        <v>9</v>
      </c>
      <c r="E4" s="201">
        <v>9945805016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>
        <v>43622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160</v>
      </c>
      <c r="D7" s="19" t="s">
        <v>124</v>
      </c>
      <c r="E7" s="17">
        <v>268.39999999999998</v>
      </c>
      <c r="F7" s="17">
        <v>0.1</v>
      </c>
      <c r="G7" s="19">
        <f t="shared" ref="G7:G12" si="0">E7-F7</f>
        <v>268.29999999999995</v>
      </c>
      <c r="H7" s="17">
        <v>1</v>
      </c>
      <c r="I7" s="19">
        <f t="shared" ref="I7:I12" si="1">G7*H7</f>
        <v>268.29999999999995</v>
      </c>
      <c r="J7" s="17">
        <v>147.19999999999999</v>
      </c>
      <c r="K7" s="17">
        <v>0.1</v>
      </c>
      <c r="L7" s="19">
        <f t="shared" ref="L7" si="2">J7-K7</f>
        <v>147.1</v>
      </c>
      <c r="M7" s="17">
        <v>1</v>
      </c>
      <c r="N7" s="19">
        <f t="shared" ref="N7" si="3">L7*M7</f>
        <v>147.1</v>
      </c>
      <c r="O7" s="17">
        <f>N7-I7</f>
        <v>-121.19999999999996</v>
      </c>
      <c r="P7" s="17">
        <f>29441.4+177</f>
        <v>29618.400000000001</v>
      </c>
      <c r="Q7" s="17">
        <v>29441.4</v>
      </c>
      <c r="R7" s="19">
        <f t="shared" ref="R7" si="4">P7-Q7</f>
        <v>177</v>
      </c>
      <c r="S7" s="17">
        <v>1</v>
      </c>
      <c r="T7" s="19">
        <f t="shared" ref="T7" si="5">R7*S7</f>
        <v>177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160</v>
      </c>
      <c r="D8" s="19" t="s">
        <v>124</v>
      </c>
      <c r="E8" s="17">
        <v>656.7</v>
      </c>
      <c r="F8" s="17">
        <f t="shared" ref="F8:F13" si="6">E7</f>
        <v>268.39999999999998</v>
      </c>
      <c r="G8" s="19">
        <f t="shared" si="0"/>
        <v>388.30000000000007</v>
      </c>
      <c r="H8" s="17">
        <f t="shared" ref="H8:H16" si="7">H7</f>
        <v>1</v>
      </c>
      <c r="I8" s="19">
        <f t="shared" si="1"/>
        <v>388.30000000000007</v>
      </c>
      <c r="J8" s="17">
        <v>289.8</v>
      </c>
      <c r="K8" s="17">
        <f t="shared" ref="K8:K13" si="8">J7</f>
        <v>147.19999999999999</v>
      </c>
      <c r="L8" s="19">
        <f t="shared" ref="L8" si="9">J8-K8</f>
        <v>142.60000000000002</v>
      </c>
      <c r="M8" s="17">
        <f t="shared" ref="M8:M16" si="10">M7</f>
        <v>1</v>
      </c>
      <c r="N8" s="19">
        <f t="shared" ref="N8" si="11">L8*M8</f>
        <v>142.60000000000002</v>
      </c>
      <c r="O8" s="17">
        <f>N8-I8</f>
        <v>-245.70000000000005</v>
      </c>
      <c r="P8" s="17">
        <v>29905</v>
      </c>
      <c r="Q8" s="17">
        <f t="shared" ref="Q8:Q13" si="12">P7</f>
        <v>29618.400000000001</v>
      </c>
      <c r="R8" s="19">
        <f t="shared" ref="R8" si="13">P8-Q8</f>
        <v>286.59999999999854</v>
      </c>
      <c r="S8" s="17">
        <f t="shared" ref="S8:S16" si="14">S7</f>
        <v>1</v>
      </c>
      <c r="T8" s="19">
        <f t="shared" ref="T8" si="15">R8*S8</f>
        <v>286.59999999999854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160</v>
      </c>
      <c r="D9" s="19" t="s">
        <v>124</v>
      </c>
      <c r="E9" s="17">
        <v>1053.7</v>
      </c>
      <c r="F9" s="17">
        <f t="shared" si="6"/>
        <v>656.7</v>
      </c>
      <c r="G9" s="19">
        <f t="shared" si="0"/>
        <v>397</v>
      </c>
      <c r="H9" s="17">
        <f t="shared" si="7"/>
        <v>1</v>
      </c>
      <c r="I9" s="19">
        <f t="shared" si="1"/>
        <v>397</v>
      </c>
      <c r="J9" s="17">
        <v>397</v>
      </c>
      <c r="K9" s="17">
        <f t="shared" si="8"/>
        <v>289.8</v>
      </c>
      <c r="L9" s="19">
        <f t="shared" ref="L9" si="16">J9-K9</f>
        <v>107.19999999999999</v>
      </c>
      <c r="M9" s="17">
        <f t="shared" si="10"/>
        <v>1</v>
      </c>
      <c r="N9" s="19">
        <f t="shared" ref="N9" si="17">L9*M9</f>
        <v>107.19999999999999</v>
      </c>
      <c r="O9" s="12">
        <f t="shared" ref="O9:O10" si="18">SUM(O7)</f>
        <v>-121.19999999999996</v>
      </c>
      <c r="P9" s="17">
        <v>30118</v>
      </c>
      <c r="Q9" s="17">
        <f t="shared" si="12"/>
        <v>29905</v>
      </c>
      <c r="R9" s="19">
        <f t="shared" ref="R9" si="19">P9-Q9</f>
        <v>213</v>
      </c>
      <c r="S9" s="17">
        <f t="shared" si="14"/>
        <v>1</v>
      </c>
      <c r="T9" s="19">
        <f t="shared" ref="T9" si="20">R9*S9</f>
        <v>213</v>
      </c>
      <c r="U9" s="17">
        <v>1.72</v>
      </c>
      <c r="V9" s="17">
        <v>0.95</v>
      </c>
      <c r="W9" s="25"/>
    </row>
    <row r="10" spans="1:23" ht="15.75" x14ac:dyDescent="0.25">
      <c r="A10" s="12">
        <v>4</v>
      </c>
      <c r="B10" s="22" t="s">
        <v>244</v>
      </c>
      <c r="C10" s="19" t="s">
        <v>160</v>
      </c>
      <c r="D10" s="19" t="s">
        <v>124</v>
      </c>
      <c r="E10" s="17">
        <v>1421.5</v>
      </c>
      <c r="F10" s="17">
        <f t="shared" si="6"/>
        <v>1053.7</v>
      </c>
      <c r="G10" s="19">
        <f t="shared" si="0"/>
        <v>367.79999999999995</v>
      </c>
      <c r="H10" s="17">
        <f t="shared" si="7"/>
        <v>1</v>
      </c>
      <c r="I10" s="19">
        <f t="shared" si="1"/>
        <v>367.79999999999995</v>
      </c>
      <c r="J10" s="17">
        <v>534.79999999999995</v>
      </c>
      <c r="K10" s="17">
        <f t="shared" si="8"/>
        <v>397</v>
      </c>
      <c r="L10" s="19">
        <f t="shared" ref="L10" si="21">J10-K10</f>
        <v>137.79999999999995</v>
      </c>
      <c r="M10" s="17">
        <f t="shared" si="10"/>
        <v>1</v>
      </c>
      <c r="N10" s="19">
        <f t="shared" ref="N10" si="22">L10*M10</f>
        <v>137.79999999999995</v>
      </c>
      <c r="O10" s="12">
        <f t="shared" si="18"/>
        <v>-245.70000000000005</v>
      </c>
      <c r="P10" s="17">
        <v>30337</v>
      </c>
      <c r="Q10" s="17">
        <f t="shared" si="12"/>
        <v>30118</v>
      </c>
      <c r="R10" s="19">
        <f t="shared" ref="R10" si="23">P10-Q10</f>
        <v>219</v>
      </c>
      <c r="S10" s="17">
        <f t="shared" si="14"/>
        <v>1</v>
      </c>
      <c r="T10" s="19">
        <f t="shared" ref="T10" si="24">R10*S10</f>
        <v>219</v>
      </c>
      <c r="U10" s="17">
        <v>1.98</v>
      </c>
      <c r="V10" s="17">
        <v>0.52</v>
      </c>
      <c r="W10" s="25"/>
    </row>
    <row r="11" spans="1:23" ht="15.75" x14ac:dyDescent="0.25">
      <c r="A11" s="12">
        <v>5</v>
      </c>
      <c r="B11" s="22" t="s">
        <v>245</v>
      </c>
      <c r="C11" s="19" t="s">
        <v>160</v>
      </c>
      <c r="D11" s="19" t="s">
        <v>124</v>
      </c>
      <c r="E11" s="17">
        <v>1699.2</v>
      </c>
      <c r="F11" s="17">
        <f t="shared" si="6"/>
        <v>1421.5</v>
      </c>
      <c r="G11" s="19">
        <f t="shared" si="0"/>
        <v>277.70000000000005</v>
      </c>
      <c r="H11" s="17">
        <f t="shared" si="7"/>
        <v>1</v>
      </c>
      <c r="I11" s="19">
        <f t="shared" si="1"/>
        <v>277.70000000000005</v>
      </c>
      <c r="J11" s="17">
        <v>705</v>
      </c>
      <c r="K11" s="17">
        <f t="shared" si="8"/>
        <v>534.79999999999995</v>
      </c>
      <c r="L11" s="19">
        <f t="shared" ref="L11:L16" si="25">J11-K11</f>
        <v>170.20000000000005</v>
      </c>
      <c r="M11" s="17">
        <f t="shared" si="10"/>
        <v>1</v>
      </c>
      <c r="N11" s="19">
        <f t="shared" ref="N11:N16" si="26">L11*M11</f>
        <v>170.20000000000005</v>
      </c>
      <c r="O11" s="12">
        <f t="shared" ref="O11:O16" si="27">SUM(O9)</f>
        <v>-121.19999999999996</v>
      </c>
      <c r="P11" s="17">
        <v>30584</v>
      </c>
      <c r="Q11" s="17">
        <f t="shared" si="12"/>
        <v>30337</v>
      </c>
      <c r="R11" s="19">
        <f t="shared" ref="R11" si="28">P11-Q11</f>
        <v>247</v>
      </c>
      <c r="S11" s="17">
        <f t="shared" si="14"/>
        <v>1</v>
      </c>
      <c r="T11" s="19">
        <f t="shared" ref="T11" si="29">R11*S11</f>
        <v>247</v>
      </c>
      <c r="U11" s="17">
        <v>1.32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160</v>
      </c>
      <c r="D12" s="19" t="s">
        <v>124</v>
      </c>
      <c r="E12" s="12">
        <v>2060.6</v>
      </c>
      <c r="F12" s="17">
        <f t="shared" si="6"/>
        <v>1699.2</v>
      </c>
      <c r="G12" s="19">
        <f t="shared" si="0"/>
        <v>361.39999999999986</v>
      </c>
      <c r="H12" s="17">
        <f t="shared" si="7"/>
        <v>1</v>
      </c>
      <c r="I12" s="19">
        <f t="shared" si="1"/>
        <v>361.39999999999986</v>
      </c>
      <c r="J12" s="12">
        <v>764.9</v>
      </c>
      <c r="K12" s="17">
        <f t="shared" si="8"/>
        <v>705</v>
      </c>
      <c r="L12" s="19">
        <f t="shared" si="25"/>
        <v>59.899999999999977</v>
      </c>
      <c r="M12" s="17">
        <f t="shared" si="10"/>
        <v>1</v>
      </c>
      <c r="N12" s="19">
        <f t="shared" si="26"/>
        <v>59.899999999999977</v>
      </c>
      <c r="O12" s="12">
        <f t="shared" si="27"/>
        <v>-245.70000000000005</v>
      </c>
      <c r="P12" s="17">
        <v>30734.7</v>
      </c>
      <c r="Q12" s="17">
        <f t="shared" si="12"/>
        <v>30584</v>
      </c>
      <c r="R12" s="19">
        <f t="shared" ref="R12" si="30">P12-Q12</f>
        <v>150.70000000000073</v>
      </c>
      <c r="S12" s="17">
        <f t="shared" si="14"/>
        <v>1</v>
      </c>
      <c r="T12" s="19">
        <f t="shared" ref="T12" si="31">R12*S12</f>
        <v>150.70000000000073</v>
      </c>
      <c r="U12" s="19">
        <v>1.57</v>
      </c>
      <c r="V12" s="19"/>
      <c r="W12" s="25"/>
    </row>
    <row r="13" spans="1:23" ht="15.75" x14ac:dyDescent="0.25">
      <c r="A13" s="12">
        <v>7</v>
      </c>
      <c r="B13" s="22" t="s">
        <v>252</v>
      </c>
      <c r="C13" s="19" t="s">
        <v>160</v>
      </c>
      <c r="D13" s="19" t="s">
        <v>124</v>
      </c>
      <c r="E13" s="12">
        <v>2466</v>
      </c>
      <c r="F13" s="17">
        <f t="shared" si="6"/>
        <v>2060.6</v>
      </c>
      <c r="G13" s="19">
        <f t="shared" ref="G13" si="32">E13-F13</f>
        <v>405.40000000000009</v>
      </c>
      <c r="H13" s="17">
        <f t="shared" si="7"/>
        <v>1</v>
      </c>
      <c r="I13" s="19">
        <f t="shared" ref="I13" si="33">G13*H13</f>
        <v>405.40000000000009</v>
      </c>
      <c r="J13" s="12">
        <v>779</v>
      </c>
      <c r="K13" s="17">
        <f t="shared" si="8"/>
        <v>764.9</v>
      </c>
      <c r="L13" s="19">
        <f t="shared" si="25"/>
        <v>14.100000000000023</v>
      </c>
      <c r="M13" s="17">
        <f t="shared" si="10"/>
        <v>1</v>
      </c>
      <c r="N13" s="19">
        <f t="shared" si="26"/>
        <v>14.100000000000023</v>
      </c>
      <c r="O13" s="12">
        <f t="shared" si="27"/>
        <v>-121.19999999999996</v>
      </c>
      <c r="P13" s="12">
        <v>30789</v>
      </c>
      <c r="Q13" s="17">
        <f t="shared" si="12"/>
        <v>30734.7</v>
      </c>
      <c r="R13" s="19">
        <f t="shared" ref="R13" si="34">P13-Q13</f>
        <v>54.299999999999272</v>
      </c>
      <c r="S13" s="17">
        <f t="shared" si="14"/>
        <v>1</v>
      </c>
      <c r="T13" s="19">
        <f t="shared" ref="T13" si="35">R13*S13</f>
        <v>54.299999999999272</v>
      </c>
      <c r="U13" s="19">
        <v>0.89</v>
      </c>
      <c r="V13" s="19">
        <v>0.88</v>
      </c>
      <c r="W13" s="25"/>
    </row>
    <row r="14" spans="1:23" ht="15.75" x14ac:dyDescent="0.25">
      <c r="A14" s="12">
        <v>8</v>
      </c>
      <c r="B14" s="22" t="s">
        <v>253</v>
      </c>
      <c r="C14" s="19" t="s">
        <v>160</v>
      </c>
      <c r="D14" s="19" t="s">
        <v>124</v>
      </c>
      <c r="E14" s="12">
        <v>2938.6</v>
      </c>
      <c r="F14" s="17">
        <f t="shared" ref="F14" si="36">E13</f>
        <v>2466</v>
      </c>
      <c r="G14" s="19">
        <f t="shared" ref="G14" si="37">E14-F14</f>
        <v>472.59999999999991</v>
      </c>
      <c r="H14" s="17">
        <f t="shared" si="7"/>
        <v>1</v>
      </c>
      <c r="I14" s="19">
        <f t="shared" ref="I14" si="38">G14*H14</f>
        <v>472.59999999999991</v>
      </c>
      <c r="J14" s="12">
        <v>779.5</v>
      </c>
      <c r="K14" s="17">
        <f t="shared" ref="K14" si="39">J13</f>
        <v>779</v>
      </c>
      <c r="L14" s="19">
        <f t="shared" si="25"/>
        <v>0.5</v>
      </c>
      <c r="M14" s="17">
        <f t="shared" si="10"/>
        <v>1</v>
      </c>
      <c r="N14" s="19">
        <f t="shared" si="26"/>
        <v>0.5</v>
      </c>
      <c r="O14" s="12">
        <f t="shared" si="27"/>
        <v>-245.70000000000005</v>
      </c>
      <c r="P14" s="12">
        <v>30790.7</v>
      </c>
      <c r="Q14" s="17">
        <f t="shared" ref="Q14" si="40">P13</f>
        <v>30789</v>
      </c>
      <c r="R14" s="19">
        <f t="shared" ref="R14" si="41">P14-Q14</f>
        <v>1.7000000000007276</v>
      </c>
      <c r="S14" s="17">
        <f t="shared" si="14"/>
        <v>1</v>
      </c>
      <c r="T14" s="19">
        <f t="shared" ref="T14" si="42">R14*S14</f>
        <v>1.7000000000007276</v>
      </c>
      <c r="U14" s="19">
        <v>1.8</v>
      </c>
      <c r="V14" s="19">
        <v>0.77</v>
      </c>
      <c r="W14" s="25"/>
    </row>
    <row r="15" spans="1:23" ht="15.75" x14ac:dyDescent="0.25">
      <c r="A15" s="12">
        <v>9</v>
      </c>
      <c r="B15" s="22" t="s">
        <v>254</v>
      </c>
      <c r="C15" s="19" t="s">
        <v>160</v>
      </c>
      <c r="D15" s="19" t="s">
        <v>124</v>
      </c>
      <c r="E15" s="12">
        <v>3353</v>
      </c>
      <c r="F15" s="17">
        <f t="shared" ref="F15" si="43">E14</f>
        <v>2938.6</v>
      </c>
      <c r="G15" s="19">
        <f t="shared" ref="G15" si="44">E15-F15</f>
        <v>414.40000000000009</v>
      </c>
      <c r="H15" s="17">
        <f t="shared" si="7"/>
        <v>1</v>
      </c>
      <c r="I15" s="19">
        <f t="shared" ref="I15" si="45">G15*H15</f>
        <v>414.40000000000009</v>
      </c>
      <c r="J15" s="12">
        <v>779.5</v>
      </c>
      <c r="K15" s="17">
        <f t="shared" ref="K15" si="46">J14</f>
        <v>779.5</v>
      </c>
      <c r="L15" s="19">
        <f t="shared" si="25"/>
        <v>0</v>
      </c>
      <c r="M15" s="17">
        <f t="shared" si="10"/>
        <v>1</v>
      </c>
      <c r="N15" s="19">
        <f t="shared" si="26"/>
        <v>0</v>
      </c>
      <c r="O15" s="12">
        <f t="shared" si="27"/>
        <v>-121.19999999999996</v>
      </c>
      <c r="P15" s="12">
        <v>30791</v>
      </c>
      <c r="Q15" s="17">
        <f t="shared" ref="Q15" si="47">P14</f>
        <v>30790.7</v>
      </c>
      <c r="R15" s="19">
        <f t="shared" ref="R15" si="48">P15-Q15</f>
        <v>0.2999999999992724</v>
      </c>
      <c r="S15" s="17">
        <f t="shared" si="14"/>
        <v>1</v>
      </c>
      <c r="T15" s="19">
        <f t="shared" ref="T15" si="49">R15*S15</f>
        <v>0.2999999999992724</v>
      </c>
      <c r="U15" s="19">
        <v>1.62</v>
      </c>
      <c r="V15" s="19">
        <v>0.85</v>
      </c>
      <c r="W15" s="25"/>
    </row>
    <row r="16" spans="1:23" ht="15.75" x14ac:dyDescent="0.25">
      <c r="A16" s="12">
        <v>10</v>
      </c>
      <c r="B16" s="22" t="s">
        <v>258</v>
      </c>
      <c r="C16" s="19" t="s">
        <v>160</v>
      </c>
      <c r="D16" s="19" t="s">
        <v>124</v>
      </c>
      <c r="E16" s="12">
        <f>E15+332</f>
        <v>3685</v>
      </c>
      <c r="F16" s="17">
        <f t="shared" ref="F16" si="50">E15</f>
        <v>3353</v>
      </c>
      <c r="G16" s="19">
        <f t="shared" ref="G16" si="51">E16-F16</f>
        <v>332</v>
      </c>
      <c r="H16" s="17">
        <f t="shared" si="7"/>
        <v>1</v>
      </c>
      <c r="I16" s="19">
        <f t="shared" ref="I16" si="52">G16*H16</f>
        <v>332</v>
      </c>
      <c r="J16" s="12">
        <v>779.5</v>
      </c>
      <c r="K16" s="17">
        <f t="shared" ref="K16" si="53">J15</f>
        <v>779.5</v>
      </c>
      <c r="L16" s="19">
        <f t="shared" si="25"/>
        <v>0</v>
      </c>
      <c r="M16" s="17">
        <f t="shared" si="10"/>
        <v>1</v>
      </c>
      <c r="N16" s="19">
        <f t="shared" si="26"/>
        <v>0</v>
      </c>
      <c r="O16" s="12">
        <f t="shared" si="27"/>
        <v>-245.70000000000005</v>
      </c>
      <c r="P16" s="12">
        <v>30792</v>
      </c>
      <c r="Q16" s="17">
        <f t="shared" ref="Q16" si="54">P15</f>
        <v>30791</v>
      </c>
      <c r="R16" s="19">
        <f t="shared" ref="R16" si="55">P16-Q16</f>
        <v>1</v>
      </c>
      <c r="S16" s="17">
        <f t="shared" si="14"/>
        <v>1</v>
      </c>
      <c r="T16" s="19">
        <f t="shared" ref="T16" si="56">R16*S16</f>
        <v>1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7" t="s">
        <v>121</v>
      </c>
      <c r="H17" s="17"/>
      <c r="I17" s="12">
        <f>SUM(I7:I16)</f>
        <v>3684.9</v>
      </c>
      <c r="J17" s="12"/>
      <c r="K17" s="17"/>
      <c r="L17" s="12"/>
      <c r="M17" s="17"/>
      <c r="N17" s="12">
        <f t="shared" ref="N17:O17" si="57">SUM(N7:N16)</f>
        <v>779.40000000000009</v>
      </c>
      <c r="O17" s="12">
        <f t="shared" si="57"/>
        <v>-1834.5</v>
      </c>
      <c r="P17" s="12"/>
      <c r="Q17" s="17"/>
      <c r="R17" s="12"/>
      <c r="S17" s="17"/>
      <c r="T17" s="12">
        <f>SUM(T7:T16)</f>
        <v>1350.5999999999985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160</v>
      </c>
      <c r="D18" s="19" t="s">
        <v>124</v>
      </c>
      <c r="E18" s="12">
        <v>3991.5</v>
      </c>
      <c r="F18" s="17">
        <f>E16</f>
        <v>3685</v>
      </c>
      <c r="G18" s="19">
        <f t="shared" ref="G18" si="58">E18-F18</f>
        <v>306.5</v>
      </c>
      <c r="H18" s="91">
        <v>1</v>
      </c>
      <c r="I18" s="19">
        <f t="shared" ref="I18" si="59">G18*H18</f>
        <v>306.5</v>
      </c>
      <c r="J18" s="12">
        <v>779.5</v>
      </c>
      <c r="K18" s="17">
        <f>J16</f>
        <v>779.5</v>
      </c>
      <c r="L18" s="19">
        <f t="shared" ref="L18" si="60">J18-K18</f>
        <v>0</v>
      </c>
      <c r="M18" s="17">
        <f>M16</f>
        <v>1</v>
      </c>
      <c r="N18" s="19">
        <f t="shared" ref="N18" si="61">L18*M18</f>
        <v>0</v>
      </c>
      <c r="O18" s="17">
        <f t="shared" ref="O18" si="62">N18-I18</f>
        <v>-306.5</v>
      </c>
      <c r="P18" s="12">
        <v>30793</v>
      </c>
      <c r="Q18" s="17">
        <f>P16</f>
        <v>30792</v>
      </c>
      <c r="R18" s="19">
        <f t="shared" ref="R18" si="63">P18-Q18</f>
        <v>1</v>
      </c>
      <c r="S18" s="17">
        <f>S16</f>
        <v>1</v>
      </c>
      <c r="T18" s="19">
        <f t="shared" ref="T18" si="64">R18*S18</f>
        <v>1</v>
      </c>
      <c r="U18" s="12">
        <v>2</v>
      </c>
      <c r="V18" s="19">
        <v>0.56000000000000005</v>
      </c>
      <c r="W18" s="25"/>
    </row>
    <row r="19" spans="1:23" ht="15.75" x14ac:dyDescent="0.25">
      <c r="A19" s="12">
        <v>12</v>
      </c>
      <c r="B19" s="22" t="s">
        <v>263</v>
      </c>
      <c r="C19" s="19" t="s">
        <v>160</v>
      </c>
      <c r="D19" s="19" t="s">
        <v>124</v>
      </c>
      <c r="E19" s="12">
        <v>4205.7</v>
      </c>
      <c r="F19" s="17">
        <f>E18</f>
        <v>3991.5</v>
      </c>
      <c r="G19" s="19">
        <f t="shared" ref="G19" si="65">E19-F19</f>
        <v>214.19999999999982</v>
      </c>
      <c r="H19" s="91">
        <f>H18</f>
        <v>1</v>
      </c>
      <c r="I19" s="19">
        <f t="shared" ref="I19" si="66">G19*H19</f>
        <v>214.19999999999982</v>
      </c>
      <c r="J19" s="12">
        <v>779.5</v>
      </c>
      <c r="K19" s="17">
        <f>J18</f>
        <v>779.5</v>
      </c>
      <c r="L19" s="19">
        <f t="shared" ref="L19" si="67">J19-K19</f>
        <v>0</v>
      </c>
      <c r="M19" s="17">
        <f>M18</f>
        <v>1</v>
      </c>
      <c r="N19" s="19">
        <f t="shared" ref="N19" si="68">L19*M19</f>
        <v>0</v>
      </c>
      <c r="O19" s="17">
        <f t="shared" ref="O19" si="69">N19-I19</f>
        <v>-214.19999999999982</v>
      </c>
      <c r="P19" s="12">
        <v>30794.5</v>
      </c>
      <c r="Q19" s="17">
        <f>P18</f>
        <v>30793</v>
      </c>
      <c r="R19" s="19">
        <f t="shared" ref="R19" si="70">P19-Q19</f>
        <v>1.5</v>
      </c>
      <c r="S19" s="17">
        <f>S18</f>
        <v>1</v>
      </c>
      <c r="T19" s="19">
        <f t="shared" ref="T19" si="71">R19*S19</f>
        <v>1.5</v>
      </c>
      <c r="U19" s="19">
        <v>1.72</v>
      </c>
      <c r="V19" s="19">
        <v>0.57999999999999996</v>
      </c>
      <c r="W19" s="25"/>
    </row>
    <row r="20" spans="1:23" ht="15.75" x14ac:dyDescent="0.25">
      <c r="A20" s="12">
        <v>13</v>
      </c>
      <c r="B20" s="22" t="s">
        <v>265</v>
      </c>
      <c r="C20" s="19" t="s">
        <v>160</v>
      </c>
      <c r="D20" s="19" t="s">
        <v>124</v>
      </c>
      <c r="E20" s="12">
        <v>4428.6000000000004</v>
      </c>
      <c r="F20" s="17">
        <f>E19</f>
        <v>4205.7</v>
      </c>
      <c r="G20" s="19">
        <f t="shared" ref="G20" si="72">E20-F20</f>
        <v>222.90000000000055</v>
      </c>
      <c r="H20" s="91">
        <f>H19</f>
        <v>1</v>
      </c>
      <c r="I20" s="19">
        <f t="shared" ref="I20" si="73">G20*H20</f>
        <v>222.90000000000055</v>
      </c>
      <c r="J20" s="12">
        <v>779.5</v>
      </c>
      <c r="K20" s="17">
        <f>J19</f>
        <v>779.5</v>
      </c>
      <c r="L20" s="19">
        <f t="shared" ref="L20" si="74">J20-K20</f>
        <v>0</v>
      </c>
      <c r="M20" s="17">
        <f>M19</f>
        <v>1</v>
      </c>
      <c r="N20" s="19">
        <f t="shared" ref="N20" si="75">L20*M20</f>
        <v>0</v>
      </c>
      <c r="O20" s="17">
        <f t="shared" ref="O20" si="76">N20-I20</f>
        <v>-222.90000000000055</v>
      </c>
      <c r="P20" s="12">
        <v>30794.5</v>
      </c>
      <c r="Q20" s="17">
        <f>P19</f>
        <v>30794.5</v>
      </c>
      <c r="R20" s="19">
        <f t="shared" ref="R20" si="77">P20-Q20</f>
        <v>0</v>
      </c>
      <c r="S20" s="17">
        <f>S19</f>
        <v>1</v>
      </c>
      <c r="T20" s="19">
        <f t="shared" ref="T20" si="78">R20*S20</f>
        <v>0</v>
      </c>
      <c r="U20" s="19">
        <v>1.0900000000000001</v>
      </c>
      <c r="V20" s="19">
        <v>0.57999999999999996</v>
      </c>
      <c r="W20" s="25"/>
    </row>
    <row r="21" spans="1:23" ht="15.75" x14ac:dyDescent="0.25">
      <c r="A21" s="12">
        <v>14</v>
      </c>
      <c r="B21" s="22" t="s">
        <v>266</v>
      </c>
      <c r="C21" s="19" t="s">
        <v>160</v>
      </c>
      <c r="D21" s="19" t="s">
        <v>124</v>
      </c>
      <c r="E21" s="12">
        <v>4632</v>
      </c>
      <c r="F21" s="17">
        <f>E20</f>
        <v>4428.6000000000004</v>
      </c>
      <c r="G21" s="19">
        <f t="shared" ref="G21" si="79">E21-F21</f>
        <v>203.39999999999964</v>
      </c>
      <c r="H21" s="91">
        <f>H20</f>
        <v>1</v>
      </c>
      <c r="I21" s="19">
        <f t="shared" ref="I21" si="80">G21*H21</f>
        <v>203.39999999999964</v>
      </c>
      <c r="J21" s="12">
        <v>779.5</v>
      </c>
      <c r="K21" s="17">
        <f>J20</f>
        <v>779.5</v>
      </c>
      <c r="L21" s="19">
        <f t="shared" ref="L21" si="81">J21-K21</f>
        <v>0</v>
      </c>
      <c r="M21" s="17">
        <f>M20</f>
        <v>1</v>
      </c>
      <c r="N21" s="19">
        <f t="shared" ref="N21" si="82">L21*M21</f>
        <v>0</v>
      </c>
      <c r="O21" s="17">
        <f t="shared" ref="O21" si="83">N21-I21</f>
        <v>-203.39999999999964</v>
      </c>
      <c r="P21" s="12">
        <v>30796.6</v>
      </c>
      <c r="Q21" s="17">
        <f>P20</f>
        <v>30794.5</v>
      </c>
      <c r="R21" s="19">
        <f t="shared" ref="R21" si="84">P21-Q21</f>
        <v>2.0999999999985448</v>
      </c>
      <c r="S21" s="17">
        <f>S20</f>
        <v>1</v>
      </c>
      <c r="T21" s="19">
        <f t="shared" ref="T21" si="85">R21*S21</f>
        <v>2.0999999999985448</v>
      </c>
      <c r="U21" s="19"/>
      <c r="V21" s="19"/>
      <c r="W21" s="25"/>
    </row>
    <row r="22" spans="1:23" ht="15.75" x14ac:dyDescent="0.25">
      <c r="A22" s="12">
        <v>15</v>
      </c>
      <c r="B22" s="22" t="s">
        <v>267</v>
      </c>
      <c r="C22" s="19" t="s">
        <v>160</v>
      </c>
      <c r="D22" s="19" t="s">
        <v>124</v>
      </c>
      <c r="E22" s="12">
        <v>4778.5</v>
      </c>
      <c r="F22" s="17">
        <f>E21</f>
        <v>4632</v>
      </c>
      <c r="G22" s="19">
        <f t="shared" ref="G22" si="86">E22-F22</f>
        <v>146.5</v>
      </c>
      <c r="H22" s="91">
        <f>H21</f>
        <v>1</v>
      </c>
      <c r="I22" s="19">
        <f t="shared" ref="I22" si="87">G22*H22</f>
        <v>146.5</v>
      </c>
      <c r="J22" s="12">
        <v>779.5</v>
      </c>
      <c r="K22" s="17">
        <f>J21</f>
        <v>779.5</v>
      </c>
      <c r="L22" s="19">
        <f t="shared" ref="L22" si="88">J22-K22</f>
        <v>0</v>
      </c>
      <c r="M22" s="17">
        <f>M21</f>
        <v>1</v>
      </c>
      <c r="N22" s="19">
        <f t="shared" ref="N22" si="89">L22*M22</f>
        <v>0</v>
      </c>
      <c r="O22" s="17">
        <f t="shared" ref="O22" si="90">N22-I22</f>
        <v>-146.5</v>
      </c>
      <c r="P22" s="12">
        <v>30797.8</v>
      </c>
      <c r="Q22" s="17">
        <f>P21</f>
        <v>30796.6</v>
      </c>
      <c r="R22" s="19">
        <f t="shared" ref="R22" si="91">P22-Q22</f>
        <v>1.2000000000007276</v>
      </c>
      <c r="S22" s="17">
        <f>S21</f>
        <v>1</v>
      </c>
      <c r="T22" s="19">
        <f t="shared" ref="T22" si="92">R22*S22</f>
        <v>1.2000000000007276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160</v>
      </c>
      <c r="D23" s="19" t="s">
        <v>124</v>
      </c>
      <c r="E23" s="12">
        <v>4943</v>
      </c>
      <c r="F23" s="17">
        <f t="shared" ref="F23:F24" si="93">E22</f>
        <v>4778.5</v>
      </c>
      <c r="G23" s="19">
        <f t="shared" ref="G23:G24" si="94">E23-F23</f>
        <v>164.5</v>
      </c>
      <c r="H23" s="91">
        <f t="shared" ref="H23:H59" si="95">H22</f>
        <v>1</v>
      </c>
      <c r="I23" s="19">
        <f t="shared" ref="I23:I24" si="96">G23*H23</f>
        <v>164.5</v>
      </c>
      <c r="J23" s="12">
        <v>779.5</v>
      </c>
      <c r="K23" s="17">
        <f t="shared" ref="K23:K24" si="97">J22</f>
        <v>779.5</v>
      </c>
      <c r="L23" s="19">
        <f t="shared" ref="L23:L24" si="98">J23-K23</f>
        <v>0</v>
      </c>
      <c r="M23" s="17">
        <f t="shared" ref="M23:M59" si="99">M22</f>
        <v>1</v>
      </c>
      <c r="N23" s="19">
        <f t="shared" ref="N23:N24" si="100">L23*M23</f>
        <v>0</v>
      </c>
      <c r="O23" s="17">
        <f t="shared" ref="O23:O24" si="101">N23-I23</f>
        <v>-164.5</v>
      </c>
      <c r="P23" s="12">
        <v>30800</v>
      </c>
      <c r="Q23" s="17">
        <f t="shared" ref="Q23:Q24" si="102">P22</f>
        <v>30797.8</v>
      </c>
      <c r="R23" s="19">
        <f t="shared" ref="R23:R24" si="103">P23-Q23</f>
        <v>2.2000000000007276</v>
      </c>
      <c r="S23" s="17">
        <f t="shared" ref="S23:S59" si="104">S22</f>
        <v>1</v>
      </c>
      <c r="T23" s="19">
        <f t="shared" ref="T23:T24" si="105">R23*S23</f>
        <v>2.2000000000007276</v>
      </c>
      <c r="U23" s="19"/>
      <c r="V23" s="19"/>
      <c r="W23" s="25"/>
    </row>
    <row r="24" spans="1:23" ht="15.75" x14ac:dyDescent="0.25">
      <c r="A24" s="12">
        <v>17</v>
      </c>
      <c r="B24" s="22" t="s">
        <v>272</v>
      </c>
      <c r="C24" s="19" t="s">
        <v>160</v>
      </c>
      <c r="D24" s="19" t="s">
        <v>124</v>
      </c>
      <c r="E24" s="12">
        <v>5115.1000000000004</v>
      </c>
      <c r="F24" s="17">
        <f t="shared" si="93"/>
        <v>4943</v>
      </c>
      <c r="G24" s="19">
        <f t="shared" si="94"/>
        <v>172.10000000000036</v>
      </c>
      <c r="H24" s="91">
        <f t="shared" si="95"/>
        <v>1</v>
      </c>
      <c r="I24" s="19">
        <f t="shared" si="96"/>
        <v>172.10000000000036</v>
      </c>
      <c r="J24" s="12">
        <v>779.5</v>
      </c>
      <c r="K24" s="17">
        <f t="shared" si="97"/>
        <v>779.5</v>
      </c>
      <c r="L24" s="19">
        <f t="shared" si="98"/>
        <v>0</v>
      </c>
      <c r="M24" s="17">
        <f t="shared" si="99"/>
        <v>1</v>
      </c>
      <c r="N24" s="19">
        <f t="shared" si="100"/>
        <v>0</v>
      </c>
      <c r="O24" s="17">
        <f t="shared" si="101"/>
        <v>-172.10000000000036</v>
      </c>
      <c r="P24" s="12">
        <v>30802</v>
      </c>
      <c r="Q24" s="17">
        <f t="shared" si="102"/>
        <v>30800</v>
      </c>
      <c r="R24" s="19">
        <f t="shared" si="103"/>
        <v>2</v>
      </c>
      <c r="S24" s="17">
        <f t="shared" si="104"/>
        <v>1</v>
      </c>
      <c r="T24" s="19">
        <f t="shared" si="105"/>
        <v>2</v>
      </c>
      <c r="U24" s="19">
        <v>0.38</v>
      </c>
      <c r="V24" s="19">
        <v>0.43</v>
      </c>
      <c r="W24" s="25"/>
    </row>
    <row r="25" spans="1:23" ht="15.75" x14ac:dyDescent="0.25">
      <c r="A25" s="12">
        <v>18</v>
      </c>
      <c r="B25" s="22" t="s">
        <v>274</v>
      </c>
      <c r="C25" s="19" t="s">
        <v>160</v>
      </c>
      <c r="D25" s="19" t="s">
        <v>124</v>
      </c>
      <c r="E25" s="12">
        <v>5265.8</v>
      </c>
      <c r="F25" s="17">
        <f t="shared" ref="F25" si="106">E24</f>
        <v>5115.1000000000004</v>
      </c>
      <c r="G25" s="19">
        <f t="shared" ref="G25" si="107">E25-F25</f>
        <v>150.69999999999982</v>
      </c>
      <c r="H25" s="91">
        <f t="shared" si="95"/>
        <v>1</v>
      </c>
      <c r="I25" s="19">
        <f t="shared" ref="I25" si="108">G25*H25</f>
        <v>150.69999999999982</v>
      </c>
      <c r="J25" s="12">
        <v>779.5</v>
      </c>
      <c r="K25" s="17">
        <f t="shared" ref="K25" si="109">J24</f>
        <v>779.5</v>
      </c>
      <c r="L25" s="19">
        <f t="shared" ref="L25" si="110">J25-K25</f>
        <v>0</v>
      </c>
      <c r="M25" s="17">
        <f t="shared" si="99"/>
        <v>1</v>
      </c>
      <c r="N25" s="19">
        <f t="shared" ref="N25" si="111">L25*M25</f>
        <v>0</v>
      </c>
      <c r="O25" s="17">
        <f t="shared" ref="O25" si="112">N25-I25</f>
        <v>-150.69999999999982</v>
      </c>
      <c r="P25" s="12">
        <v>30802</v>
      </c>
      <c r="Q25" s="17">
        <f t="shared" ref="Q25" si="113">P24</f>
        <v>30802</v>
      </c>
      <c r="R25" s="19">
        <f t="shared" ref="R25" si="114">P25-Q25</f>
        <v>0</v>
      </c>
      <c r="S25" s="17">
        <f t="shared" si="104"/>
        <v>1</v>
      </c>
      <c r="T25" s="19">
        <f t="shared" ref="T25" si="115">R25*S25</f>
        <v>0</v>
      </c>
      <c r="U25" s="19">
        <v>1.57</v>
      </c>
      <c r="V25" s="19">
        <v>0.48</v>
      </c>
      <c r="W25" s="25"/>
    </row>
    <row r="26" spans="1:23" ht="15.75" x14ac:dyDescent="0.25">
      <c r="A26" s="12">
        <v>19</v>
      </c>
      <c r="B26" s="22" t="s">
        <v>276</v>
      </c>
      <c r="C26" s="19" t="s">
        <v>160</v>
      </c>
      <c r="D26" s="19" t="s">
        <v>124</v>
      </c>
      <c r="E26" s="12">
        <v>5396.8</v>
      </c>
      <c r="F26" s="17">
        <f t="shared" ref="F26" si="116">E25</f>
        <v>5265.8</v>
      </c>
      <c r="G26" s="19">
        <f t="shared" ref="G26" si="117">E26-F26</f>
        <v>131</v>
      </c>
      <c r="H26" s="91">
        <f t="shared" si="95"/>
        <v>1</v>
      </c>
      <c r="I26" s="19">
        <f t="shared" ref="I26" si="118">G26*H26</f>
        <v>131</v>
      </c>
      <c r="J26" s="12">
        <v>814.1</v>
      </c>
      <c r="K26" s="17">
        <f t="shared" ref="K26" si="119">J25</f>
        <v>779.5</v>
      </c>
      <c r="L26" s="19">
        <f t="shared" ref="L26" si="120">J26-K26</f>
        <v>34.600000000000023</v>
      </c>
      <c r="M26" s="17">
        <f t="shared" si="99"/>
        <v>1</v>
      </c>
      <c r="N26" s="19">
        <f t="shared" ref="N26" si="121">L26*M26</f>
        <v>34.600000000000023</v>
      </c>
      <c r="O26" s="17">
        <f t="shared" ref="O26" si="122">N26-I26</f>
        <v>-96.399999999999977</v>
      </c>
      <c r="P26" s="12">
        <v>30867</v>
      </c>
      <c r="Q26" s="17">
        <f t="shared" ref="Q26" si="123">P25</f>
        <v>30802</v>
      </c>
      <c r="R26" s="19">
        <f t="shared" ref="R26" si="124">P26-Q26</f>
        <v>65</v>
      </c>
      <c r="S26" s="17">
        <f t="shared" si="104"/>
        <v>1</v>
      </c>
      <c r="T26" s="19">
        <f t="shared" ref="T26" si="125">R26*S26</f>
        <v>65</v>
      </c>
      <c r="U26" s="19">
        <v>0.92</v>
      </c>
      <c r="V26" s="19">
        <v>0.6</v>
      </c>
      <c r="W26" s="25"/>
    </row>
    <row r="27" spans="1:23" ht="15.75" x14ac:dyDescent="0.25">
      <c r="A27" s="12">
        <v>20</v>
      </c>
      <c r="B27" s="22" t="s">
        <v>262</v>
      </c>
      <c r="C27" s="19" t="s">
        <v>160</v>
      </c>
      <c r="D27" s="19" t="s">
        <v>124</v>
      </c>
      <c r="E27" s="12">
        <v>5556.8</v>
      </c>
      <c r="F27" s="17">
        <f t="shared" ref="F27" si="126">E26</f>
        <v>5396.8</v>
      </c>
      <c r="G27" s="19">
        <f t="shared" ref="G27" si="127">E27-F27</f>
        <v>160</v>
      </c>
      <c r="H27" s="91">
        <f t="shared" si="95"/>
        <v>1</v>
      </c>
      <c r="I27" s="19">
        <f t="shared" ref="I27" si="128">G27*H27</f>
        <v>160</v>
      </c>
      <c r="J27" s="12">
        <v>882.3</v>
      </c>
      <c r="K27" s="17">
        <f t="shared" ref="K27" si="129">J26</f>
        <v>814.1</v>
      </c>
      <c r="L27" s="19">
        <f t="shared" ref="L27" si="130">J27-K27</f>
        <v>68.199999999999932</v>
      </c>
      <c r="M27" s="17">
        <f t="shared" si="99"/>
        <v>1</v>
      </c>
      <c r="N27" s="19">
        <f t="shared" ref="N27" si="131">L27*M27</f>
        <v>68.199999999999932</v>
      </c>
      <c r="O27" s="17">
        <f t="shared" ref="O27" si="132">N27-I27</f>
        <v>-91.800000000000068</v>
      </c>
      <c r="P27" s="12">
        <v>30988.9</v>
      </c>
      <c r="Q27" s="17">
        <f t="shared" ref="Q27" si="133">P26</f>
        <v>30867</v>
      </c>
      <c r="R27" s="19">
        <f t="shared" ref="R27" si="134">P27-Q27</f>
        <v>121.90000000000146</v>
      </c>
      <c r="S27" s="17">
        <f t="shared" si="104"/>
        <v>1</v>
      </c>
      <c r="T27" s="19">
        <f t="shared" ref="T27" si="135">R27*S27</f>
        <v>121.90000000000146</v>
      </c>
      <c r="U27" s="19">
        <v>0.66</v>
      </c>
      <c r="V27" s="19"/>
      <c r="W27" s="25"/>
    </row>
    <row r="28" spans="1:23" ht="15.75" x14ac:dyDescent="0.25">
      <c r="A28" s="12">
        <v>21</v>
      </c>
      <c r="B28" s="22" t="s">
        <v>277</v>
      </c>
      <c r="C28" s="19" t="s">
        <v>160</v>
      </c>
      <c r="D28" s="19" t="s">
        <v>124</v>
      </c>
      <c r="E28" s="12">
        <v>5856.7</v>
      </c>
      <c r="F28" s="17">
        <f t="shared" ref="F28" si="136">E27</f>
        <v>5556.8</v>
      </c>
      <c r="G28" s="19">
        <f t="shared" ref="G28" si="137">E28-F28</f>
        <v>299.89999999999964</v>
      </c>
      <c r="H28" s="91">
        <f t="shared" si="95"/>
        <v>1</v>
      </c>
      <c r="I28" s="19">
        <f t="shared" ref="I28" si="138">G28*H28</f>
        <v>299.89999999999964</v>
      </c>
      <c r="J28" s="12">
        <v>996.5</v>
      </c>
      <c r="K28" s="17">
        <f t="shared" ref="K28" si="139">J27</f>
        <v>882.3</v>
      </c>
      <c r="L28" s="19">
        <f t="shared" ref="L28" si="140">J28-K28</f>
        <v>114.20000000000005</v>
      </c>
      <c r="M28" s="17">
        <f t="shared" si="99"/>
        <v>1</v>
      </c>
      <c r="N28" s="19">
        <f t="shared" ref="N28" si="141">L28*M28</f>
        <v>114.20000000000005</v>
      </c>
      <c r="O28" s="17">
        <f t="shared" ref="O28" si="142">N28-I28</f>
        <v>-185.69999999999959</v>
      </c>
      <c r="P28" s="12">
        <v>31195</v>
      </c>
      <c r="Q28" s="17">
        <f t="shared" ref="Q28" si="143">P27</f>
        <v>30988.9</v>
      </c>
      <c r="R28" s="19">
        <f t="shared" ref="R28" si="144">P28-Q28</f>
        <v>206.09999999999854</v>
      </c>
      <c r="S28" s="17">
        <f t="shared" si="104"/>
        <v>1</v>
      </c>
      <c r="T28" s="19">
        <f t="shared" ref="T28" si="145">R28*S28</f>
        <v>206.09999999999854</v>
      </c>
      <c r="U28" s="19">
        <v>1.22</v>
      </c>
      <c r="V28" s="19">
        <v>0.96</v>
      </c>
      <c r="W28" s="25"/>
    </row>
    <row r="29" spans="1:23" ht="15.75" x14ac:dyDescent="0.25">
      <c r="A29" s="12">
        <v>22</v>
      </c>
      <c r="B29" s="22" t="s">
        <v>278</v>
      </c>
      <c r="C29" s="19" t="s">
        <v>160</v>
      </c>
      <c r="D29" s="19" t="s">
        <v>124</v>
      </c>
      <c r="E29" s="12">
        <v>6183.7</v>
      </c>
      <c r="F29" s="17">
        <f t="shared" ref="F29" si="146">E28</f>
        <v>5856.7</v>
      </c>
      <c r="G29" s="19">
        <f t="shared" ref="G29" si="147">E29-F29</f>
        <v>327</v>
      </c>
      <c r="H29" s="91">
        <f t="shared" si="95"/>
        <v>1</v>
      </c>
      <c r="I29" s="19">
        <f t="shared" ref="I29" si="148">G29*H29</f>
        <v>327</v>
      </c>
      <c r="J29" s="12">
        <v>1028</v>
      </c>
      <c r="K29" s="17">
        <f t="shared" ref="K29" si="149">J28</f>
        <v>996.5</v>
      </c>
      <c r="L29" s="19">
        <f t="shared" ref="L29" si="150">J29-K29</f>
        <v>31.5</v>
      </c>
      <c r="M29" s="17">
        <f t="shared" si="99"/>
        <v>1</v>
      </c>
      <c r="N29" s="19">
        <f t="shared" ref="N29" si="151">L29*M29</f>
        <v>31.5</v>
      </c>
      <c r="O29" s="17">
        <f t="shared" ref="O29" si="152">N29-I29</f>
        <v>-295.5</v>
      </c>
      <c r="P29" s="12">
        <f>P28+215</f>
        <v>31410</v>
      </c>
      <c r="Q29" s="17">
        <f t="shared" ref="Q29" si="153">P28</f>
        <v>31195</v>
      </c>
      <c r="R29" s="19">
        <f t="shared" ref="R29" si="154">P29-Q29</f>
        <v>215</v>
      </c>
      <c r="S29" s="17">
        <f t="shared" si="104"/>
        <v>1</v>
      </c>
      <c r="T29" s="19">
        <f t="shared" ref="T29" si="155">R29*S29</f>
        <v>215</v>
      </c>
      <c r="U29" s="19"/>
      <c r="V29" s="19">
        <v>0.96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160</v>
      </c>
      <c r="D31" s="19" t="s">
        <v>124</v>
      </c>
      <c r="E31" s="12">
        <f>E29+115</f>
        <v>6298.7</v>
      </c>
      <c r="F31" s="17">
        <f t="shared" ref="F31" si="156">E29</f>
        <v>6183.7</v>
      </c>
      <c r="G31" s="19">
        <f t="shared" ref="G31" si="157">E31-F31</f>
        <v>115</v>
      </c>
      <c r="H31" s="91">
        <f>H29</f>
        <v>1</v>
      </c>
      <c r="I31" s="19">
        <f t="shared" ref="I31" si="158">G31*H31</f>
        <v>115</v>
      </c>
      <c r="J31" s="12">
        <f>J29+257</f>
        <v>1285</v>
      </c>
      <c r="K31" s="17">
        <f t="shared" ref="K31" si="159">J29</f>
        <v>1028</v>
      </c>
      <c r="L31" s="19">
        <f t="shared" ref="L31" si="160">J31-K31</f>
        <v>257</v>
      </c>
      <c r="M31" s="17">
        <f>M29</f>
        <v>1</v>
      </c>
      <c r="N31" s="19">
        <f t="shared" ref="N31" si="161">L31*M31</f>
        <v>257</v>
      </c>
      <c r="O31" s="17">
        <f t="shared" ref="O31" si="162">N31-I31</f>
        <v>142</v>
      </c>
      <c r="P31" s="12">
        <f>P29+286</f>
        <v>31696</v>
      </c>
      <c r="Q31" s="17">
        <f t="shared" ref="Q31" si="163">P29</f>
        <v>31410</v>
      </c>
      <c r="R31" s="19">
        <f t="shared" ref="R31" si="164">P31-Q31</f>
        <v>286</v>
      </c>
      <c r="S31" s="17">
        <f>S29</f>
        <v>1</v>
      </c>
      <c r="T31" s="19">
        <f t="shared" ref="T31" si="165">R31*S31</f>
        <v>286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160</v>
      </c>
      <c r="D32" s="19" t="s">
        <v>124</v>
      </c>
      <c r="E32" s="12">
        <f>E31+115</f>
        <v>6413.7</v>
      </c>
      <c r="F32" s="17">
        <f t="shared" ref="F32" si="166">E31</f>
        <v>6298.7</v>
      </c>
      <c r="G32" s="19">
        <f t="shared" ref="G32" si="167">E32-F32</f>
        <v>115</v>
      </c>
      <c r="H32" s="91">
        <f t="shared" si="95"/>
        <v>1</v>
      </c>
      <c r="I32" s="19">
        <f t="shared" ref="I32" si="168">G32*H32</f>
        <v>115</v>
      </c>
      <c r="J32" s="12">
        <f>J31+257</f>
        <v>1542</v>
      </c>
      <c r="K32" s="17">
        <f t="shared" ref="K32" si="169">J31</f>
        <v>1285</v>
      </c>
      <c r="L32" s="19">
        <f t="shared" ref="L32" si="170">J32-K32</f>
        <v>257</v>
      </c>
      <c r="M32" s="17">
        <f t="shared" si="99"/>
        <v>1</v>
      </c>
      <c r="N32" s="19">
        <f t="shared" ref="N32" si="171">L32*M32</f>
        <v>257</v>
      </c>
      <c r="O32" s="17">
        <f t="shared" ref="O32" si="172">N32-I32</f>
        <v>142</v>
      </c>
      <c r="P32" s="12">
        <f>P31+286</f>
        <v>31982</v>
      </c>
      <c r="Q32" s="17">
        <f t="shared" ref="Q32" si="173">P31</f>
        <v>31696</v>
      </c>
      <c r="R32" s="19">
        <f>P32-Q32</f>
        <v>286</v>
      </c>
      <c r="S32" s="17">
        <f t="shared" si="104"/>
        <v>1</v>
      </c>
      <c r="T32" s="19">
        <f t="shared" ref="T32" si="174">R32*S32</f>
        <v>286</v>
      </c>
      <c r="U32" s="19"/>
      <c r="V32" s="19"/>
      <c r="W32" s="25"/>
    </row>
    <row r="33" spans="1:23" ht="15.75" x14ac:dyDescent="0.25">
      <c r="A33" s="12">
        <v>25</v>
      </c>
      <c r="B33" s="22" t="s">
        <v>281</v>
      </c>
      <c r="C33" s="19" t="s">
        <v>160</v>
      </c>
      <c r="D33" s="19" t="s">
        <v>124</v>
      </c>
      <c r="E33" s="12">
        <f>E32+115</f>
        <v>6528.7</v>
      </c>
      <c r="F33" s="17">
        <f t="shared" ref="F33:F35" si="175">E32</f>
        <v>6413.7</v>
      </c>
      <c r="G33" s="19">
        <f t="shared" ref="G33:G35" si="176">E33-F33</f>
        <v>115</v>
      </c>
      <c r="H33" s="91">
        <f t="shared" si="95"/>
        <v>1</v>
      </c>
      <c r="I33" s="19">
        <f t="shared" ref="I33:I35" si="177">G33*H33</f>
        <v>115</v>
      </c>
      <c r="J33" s="12">
        <f>J32+257</f>
        <v>1799</v>
      </c>
      <c r="K33" s="17">
        <f t="shared" ref="K33:K35" si="178">J32</f>
        <v>1542</v>
      </c>
      <c r="L33" s="19">
        <f t="shared" ref="L33:L35" si="179">J33-K33</f>
        <v>257</v>
      </c>
      <c r="M33" s="17">
        <f t="shared" si="99"/>
        <v>1</v>
      </c>
      <c r="N33" s="19">
        <f t="shared" ref="N33:N35" si="180">L33*M33</f>
        <v>257</v>
      </c>
      <c r="O33" s="17">
        <f t="shared" ref="O33:O35" si="181">N33-I33</f>
        <v>142</v>
      </c>
      <c r="P33" s="12">
        <f t="shared" ref="P33:P34" si="182">P32+286</f>
        <v>32268</v>
      </c>
      <c r="Q33" s="17">
        <f t="shared" ref="Q33:Q35" si="183">P32</f>
        <v>31982</v>
      </c>
      <c r="R33" s="19">
        <f t="shared" ref="R33:R35" si="184">P33-Q33</f>
        <v>286</v>
      </c>
      <c r="S33" s="17">
        <f t="shared" si="104"/>
        <v>1</v>
      </c>
      <c r="T33" s="19">
        <f t="shared" ref="T33:T35" si="185">R33*S33</f>
        <v>286</v>
      </c>
      <c r="U33" s="19"/>
      <c r="V33" s="19"/>
      <c r="W33" s="25"/>
    </row>
    <row r="34" spans="1:23" ht="15.75" x14ac:dyDescent="0.25">
      <c r="A34" s="12">
        <v>26</v>
      </c>
      <c r="B34" s="22" t="s">
        <v>282</v>
      </c>
      <c r="C34" s="19" t="s">
        <v>160</v>
      </c>
      <c r="D34" s="19" t="s">
        <v>124</v>
      </c>
      <c r="E34" s="12">
        <f>E33+115</f>
        <v>6643.7</v>
      </c>
      <c r="F34" s="17">
        <f t="shared" si="175"/>
        <v>6528.7</v>
      </c>
      <c r="G34" s="19">
        <f t="shared" si="176"/>
        <v>115</v>
      </c>
      <c r="H34" s="91">
        <f t="shared" si="95"/>
        <v>1</v>
      </c>
      <c r="I34" s="19">
        <f t="shared" si="177"/>
        <v>115</v>
      </c>
      <c r="J34" s="12">
        <f>J33+257</f>
        <v>2056</v>
      </c>
      <c r="K34" s="17">
        <f t="shared" si="178"/>
        <v>1799</v>
      </c>
      <c r="L34" s="19">
        <f t="shared" si="179"/>
        <v>257</v>
      </c>
      <c r="M34" s="17">
        <f t="shared" si="99"/>
        <v>1</v>
      </c>
      <c r="N34" s="19">
        <f t="shared" si="180"/>
        <v>257</v>
      </c>
      <c r="O34" s="17">
        <f t="shared" si="181"/>
        <v>142</v>
      </c>
      <c r="P34" s="12">
        <f t="shared" si="182"/>
        <v>32554</v>
      </c>
      <c r="Q34" s="17">
        <f t="shared" si="183"/>
        <v>32268</v>
      </c>
      <c r="R34" s="19">
        <f t="shared" si="184"/>
        <v>286</v>
      </c>
      <c r="S34" s="17">
        <f t="shared" si="104"/>
        <v>1</v>
      </c>
      <c r="T34" s="19">
        <f t="shared" si="185"/>
        <v>286</v>
      </c>
      <c r="U34" s="19"/>
      <c r="V34" s="19"/>
      <c r="W34" s="25"/>
    </row>
    <row r="35" spans="1:23" ht="15.75" x14ac:dyDescent="0.25">
      <c r="A35" s="12">
        <v>27</v>
      </c>
      <c r="B35" s="22" t="s">
        <v>283</v>
      </c>
      <c r="C35" s="19" t="s">
        <v>160</v>
      </c>
      <c r="D35" s="19" t="s">
        <v>124</v>
      </c>
      <c r="E35" s="12">
        <v>6761.3</v>
      </c>
      <c r="F35" s="17">
        <f t="shared" si="175"/>
        <v>6643.7</v>
      </c>
      <c r="G35" s="19">
        <f t="shared" si="176"/>
        <v>117.60000000000036</v>
      </c>
      <c r="H35" s="91">
        <f t="shared" si="95"/>
        <v>1</v>
      </c>
      <c r="I35" s="19">
        <f t="shared" si="177"/>
        <v>117.60000000000036</v>
      </c>
      <c r="J35" s="12">
        <v>2314.3000000000002</v>
      </c>
      <c r="K35" s="17">
        <f t="shared" si="178"/>
        <v>2056</v>
      </c>
      <c r="L35" s="19">
        <f t="shared" si="179"/>
        <v>258.30000000000018</v>
      </c>
      <c r="M35" s="17">
        <f t="shared" si="99"/>
        <v>1</v>
      </c>
      <c r="N35" s="19">
        <f t="shared" si="180"/>
        <v>258.30000000000018</v>
      </c>
      <c r="O35" s="17">
        <f t="shared" si="181"/>
        <v>140.69999999999982</v>
      </c>
      <c r="P35" s="12">
        <v>32843.9</v>
      </c>
      <c r="Q35" s="17">
        <f t="shared" si="183"/>
        <v>32554</v>
      </c>
      <c r="R35" s="19">
        <f t="shared" si="184"/>
        <v>289.90000000000146</v>
      </c>
      <c r="S35" s="17">
        <f t="shared" si="104"/>
        <v>1</v>
      </c>
      <c r="T35" s="19">
        <f t="shared" si="185"/>
        <v>289.90000000000146</v>
      </c>
      <c r="U35" s="19">
        <v>1.67</v>
      </c>
      <c r="V35" s="19">
        <v>0.98</v>
      </c>
      <c r="W35" s="25"/>
    </row>
    <row r="36" spans="1:23" ht="15.75" x14ac:dyDescent="0.25">
      <c r="A36" s="12">
        <v>28</v>
      </c>
      <c r="B36" s="22" t="s">
        <v>284</v>
      </c>
      <c r="C36" s="19" t="s">
        <v>160</v>
      </c>
      <c r="D36" s="19" t="s">
        <v>124</v>
      </c>
      <c r="E36" s="12">
        <v>6959.2</v>
      </c>
      <c r="F36" s="17">
        <f t="shared" ref="F36" si="186">E35</f>
        <v>6761.3</v>
      </c>
      <c r="G36" s="19">
        <f t="shared" ref="G36" si="187">E36-F36</f>
        <v>197.89999999999964</v>
      </c>
      <c r="H36" s="91">
        <f t="shared" si="95"/>
        <v>1</v>
      </c>
      <c r="I36" s="19">
        <f t="shared" ref="I36" si="188">G36*H36</f>
        <v>197.89999999999964</v>
      </c>
      <c r="J36" s="12">
        <v>2508.5</v>
      </c>
      <c r="K36" s="17">
        <f t="shared" ref="K36" si="189">J35</f>
        <v>2314.3000000000002</v>
      </c>
      <c r="L36" s="19">
        <f t="shared" ref="L36" si="190">J36-K36</f>
        <v>194.19999999999982</v>
      </c>
      <c r="M36" s="17">
        <f t="shared" si="99"/>
        <v>1</v>
      </c>
      <c r="N36" s="19">
        <f t="shared" ref="N36" si="191">L36*M36</f>
        <v>194.19999999999982</v>
      </c>
      <c r="O36" s="17">
        <f t="shared" ref="O36" si="192">N36-I36</f>
        <v>-3.6999999999998181</v>
      </c>
      <c r="P36" s="12">
        <v>33102.800000000003</v>
      </c>
      <c r="Q36" s="17">
        <f t="shared" ref="Q36" si="193">P35</f>
        <v>32843.9</v>
      </c>
      <c r="R36" s="19">
        <f t="shared" ref="R36" si="194">P36-Q36</f>
        <v>258.90000000000146</v>
      </c>
      <c r="S36" s="17">
        <f t="shared" si="104"/>
        <v>1</v>
      </c>
      <c r="T36" s="19">
        <f t="shared" ref="T36" si="195">R36*S36</f>
        <v>258.90000000000146</v>
      </c>
      <c r="U36" s="19">
        <v>1.63</v>
      </c>
      <c r="V36" s="19">
        <v>0.9</v>
      </c>
      <c r="W36" s="25"/>
    </row>
    <row r="37" spans="1:23" ht="15.75" x14ac:dyDescent="0.25">
      <c r="A37" s="12">
        <v>29</v>
      </c>
      <c r="B37" s="22" t="s">
        <v>286</v>
      </c>
      <c r="C37" s="19" t="s">
        <v>160</v>
      </c>
      <c r="D37" s="19" t="s">
        <v>124</v>
      </c>
      <c r="E37" s="12">
        <v>7156.5</v>
      </c>
      <c r="F37" s="17">
        <f t="shared" ref="F37" si="196">E36</f>
        <v>6959.2</v>
      </c>
      <c r="G37" s="19">
        <f t="shared" ref="G37" si="197">E37-F37</f>
        <v>197.30000000000018</v>
      </c>
      <c r="H37" s="91">
        <f t="shared" si="95"/>
        <v>1</v>
      </c>
      <c r="I37" s="19">
        <f t="shared" ref="I37" si="198">G37*H37</f>
        <v>197.30000000000018</v>
      </c>
      <c r="J37" s="12">
        <v>2677.5</v>
      </c>
      <c r="K37" s="17">
        <f t="shared" ref="K37" si="199">J36</f>
        <v>2508.5</v>
      </c>
      <c r="L37" s="19">
        <f t="shared" ref="L37" si="200">J37-K37</f>
        <v>169</v>
      </c>
      <c r="M37" s="17">
        <f t="shared" si="99"/>
        <v>1</v>
      </c>
      <c r="N37" s="19">
        <f t="shared" ref="N37" si="201">L37*M37</f>
        <v>169</v>
      </c>
      <c r="O37" s="17">
        <f t="shared" ref="O37" si="202">N37-I37</f>
        <v>-28.300000000000182</v>
      </c>
      <c r="P37" s="12">
        <v>33365.599999999999</v>
      </c>
      <c r="Q37" s="17">
        <f t="shared" ref="Q37" si="203">P36</f>
        <v>33102.800000000003</v>
      </c>
      <c r="R37" s="19">
        <f t="shared" ref="R37" si="204">P37-Q37</f>
        <v>262.79999999999563</v>
      </c>
      <c r="S37" s="17">
        <f t="shared" si="104"/>
        <v>1</v>
      </c>
      <c r="T37" s="19">
        <f t="shared" ref="T37" si="205">R37*S37</f>
        <v>262.79999999999563</v>
      </c>
      <c r="U37" s="19">
        <v>1.1000000000000001</v>
      </c>
      <c r="V37" s="19">
        <v>0.89</v>
      </c>
      <c r="W37" s="25"/>
    </row>
    <row r="38" spans="1:23" ht="15.75" x14ac:dyDescent="0.25">
      <c r="A38" s="12">
        <v>30</v>
      </c>
      <c r="B38" s="22" t="s">
        <v>288</v>
      </c>
      <c r="C38" s="19" t="s">
        <v>160</v>
      </c>
      <c r="D38" s="19" t="s">
        <v>124</v>
      </c>
      <c r="E38" s="12">
        <v>7352.7</v>
      </c>
      <c r="F38" s="17">
        <f t="shared" ref="F38" si="206">E37</f>
        <v>7156.5</v>
      </c>
      <c r="G38" s="19">
        <f t="shared" ref="G38" si="207">E38-F38</f>
        <v>196.19999999999982</v>
      </c>
      <c r="H38" s="91">
        <f t="shared" si="95"/>
        <v>1</v>
      </c>
      <c r="I38" s="19">
        <f t="shared" ref="I38" si="208">G38*H38</f>
        <v>196.19999999999982</v>
      </c>
      <c r="J38" s="12">
        <v>2749.5</v>
      </c>
      <c r="K38" s="17">
        <f t="shared" ref="K38" si="209">J37</f>
        <v>2677.5</v>
      </c>
      <c r="L38" s="19">
        <f t="shared" ref="L38" si="210">J38-K38</f>
        <v>72</v>
      </c>
      <c r="M38" s="17">
        <f t="shared" si="99"/>
        <v>1</v>
      </c>
      <c r="N38" s="19">
        <f t="shared" ref="N38" si="211">L38*M38</f>
        <v>72</v>
      </c>
      <c r="O38" s="17">
        <f t="shared" ref="O38" si="212">N38-I38</f>
        <v>-124.19999999999982</v>
      </c>
      <c r="P38" s="12">
        <v>33642</v>
      </c>
      <c r="Q38" s="17">
        <f t="shared" ref="Q38" si="213">P37</f>
        <v>33365.599999999999</v>
      </c>
      <c r="R38" s="19">
        <f t="shared" ref="R38" si="214">P38-Q38</f>
        <v>276.40000000000146</v>
      </c>
      <c r="S38" s="17">
        <f t="shared" si="104"/>
        <v>1</v>
      </c>
      <c r="T38" s="19">
        <f t="shared" ref="T38" si="215">R38*S38</f>
        <v>276.40000000000146</v>
      </c>
      <c r="U38" s="19">
        <v>1.08</v>
      </c>
      <c r="V38" s="19">
        <v>0.97</v>
      </c>
      <c r="W38" s="25"/>
    </row>
    <row r="39" spans="1:23" ht="15.75" x14ac:dyDescent="0.25">
      <c r="A39" s="12">
        <v>31</v>
      </c>
      <c r="B39" s="22" t="s">
        <v>289</v>
      </c>
      <c r="C39" s="19" t="s">
        <v>160</v>
      </c>
      <c r="D39" s="19" t="s">
        <v>124</v>
      </c>
      <c r="E39" s="12">
        <v>7592.3</v>
      </c>
      <c r="F39" s="17">
        <f t="shared" ref="F39" si="216">E38</f>
        <v>7352.7</v>
      </c>
      <c r="G39" s="19">
        <f t="shared" ref="G39" si="217">E39-F39</f>
        <v>239.60000000000036</v>
      </c>
      <c r="H39" s="91">
        <f t="shared" si="95"/>
        <v>1</v>
      </c>
      <c r="I39" s="19">
        <f t="shared" ref="I39" si="218">G39*H39</f>
        <v>239.60000000000036</v>
      </c>
      <c r="J39" s="12">
        <v>2777.4</v>
      </c>
      <c r="K39" s="17">
        <f t="shared" ref="K39" si="219">J38</f>
        <v>2749.5</v>
      </c>
      <c r="L39" s="19">
        <f t="shared" ref="L39" si="220">J39-K39</f>
        <v>27.900000000000091</v>
      </c>
      <c r="M39" s="17">
        <f t="shared" si="99"/>
        <v>1</v>
      </c>
      <c r="N39" s="19">
        <f t="shared" ref="N39" si="221">L39*M39</f>
        <v>27.900000000000091</v>
      </c>
      <c r="O39" s="17">
        <f t="shared" ref="O39" si="222">N39-I39</f>
        <v>-211.70000000000027</v>
      </c>
      <c r="P39" s="12">
        <v>33685.699999999997</v>
      </c>
      <c r="Q39" s="17">
        <f t="shared" ref="Q39" si="223">P38</f>
        <v>33642</v>
      </c>
      <c r="R39" s="19">
        <f t="shared" ref="R39" si="224">P39-Q39</f>
        <v>43.69999999999709</v>
      </c>
      <c r="S39" s="17">
        <f t="shared" si="104"/>
        <v>1</v>
      </c>
      <c r="T39" s="19">
        <f t="shared" ref="T39" si="225">R39*S39</f>
        <v>43.69999999999709</v>
      </c>
      <c r="U39" s="19">
        <v>1.08</v>
      </c>
      <c r="V39" s="19">
        <v>0.97</v>
      </c>
      <c r="W39" s="25"/>
    </row>
    <row r="40" spans="1:23" ht="15.75" x14ac:dyDescent="0.25">
      <c r="A40" s="12">
        <v>32</v>
      </c>
      <c r="B40" s="22" t="s">
        <v>290</v>
      </c>
      <c r="C40" s="19" t="s">
        <v>160</v>
      </c>
      <c r="D40" s="19" t="s">
        <v>124</v>
      </c>
      <c r="E40" s="12">
        <v>7834.6</v>
      </c>
      <c r="F40" s="17">
        <f t="shared" ref="F40" si="226">E39</f>
        <v>7592.3</v>
      </c>
      <c r="G40" s="19">
        <f t="shared" ref="G40" si="227">E40-F40</f>
        <v>242.30000000000018</v>
      </c>
      <c r="H40" s="91">
        <f t="shared" si="95"/>
        <v>1</v>
      </c>
      <c r="I40" s="19">
        <f t="shared" ref="I40" si="228">G40*H40</f>
        <v>242.30000000000018</v>
      </c>
      <c r="J40" s="12">
        <v>2810.5</v>
      </c>
      <c r="K40" s="17">
        <f t="shared" ref="K40" si="229">J39</f>
        <v>2777.4</v>
      </c>
      <c r="L40" s="19">
        <f t="shared" ref="L40" si="230">J40-K40</f>
        <v>33.099999999999909</v>
      </c>
      <c r="M40" s="17">
        <f t="shared" si="99"/>
        <v>1</v>
      </c>
      <c r="N40" s="19">
        <f t="shared" ref="N40" si="231">L40*M40</f>
        <v>33.099999999999909</v>
      </c>
      <c r="O40" s="17">
        <f t="shared" ref="O40" si="232">N40-I40</f>
        <v>-209.20000000000027</v>
      </c>
      <c r="P40" s="12">
        <v>33685.699999999997</v>
      </c>
      <c r="Q40" s="17">
        <f>P39</f>
        <v>33685.699999999997</v>
      </c>
      <c r="R40" s="19">
        <f t="shared" ref="R40" si="233">P40-Q40</f>
        <v>0</v>
      </c>
      <c r="S40" s="17">
        <f t="shared" si="104"/>
        <v>1</v>
      </c>
      <c r="T40" s="19">
        <f t="shared" ref="T40" si="234">R40*S40</f>
        <v>0</v>
      </c>
      <c r="U40" s="19">
        <v>1.49</v>
      </c>
      <c r="V40" s="19">
        <v>0.96</v>
      </c>
      <c r="W40" s="25"/>
    </row>
    <row r="41" spans="1:23" ht="15.75" x14ac:dyDescent="0.25">
      <c r="A41" s="12">
        <v>33</v>
      </c>
      <c r="B41" s="22" t="s">
        <v>291</v>
      </c>
      <c r="C41" s="19" t="s">
        <v>160</v>
      </c>
      <c r="D41" s="19" t="s">
        <v>124</v>
      </c>
      <c r="E41" s="12">
        <v>8042.9</v>
      </c>
      <c r="F41" s="17">
        <f t="shared" ref="F41:F48" si="235">E40</f>
        <v>7834.6</v>
      </c>
      <c r="G41" s="19">
        <f t="shared" ref="G41:G48" si="236">E41-F41</f>
        <v>208.29999999999927</v>
      </c>
      <c r="H41" s="91">
        <f t="shared" si="95"/>
        <v>1</v>
      </c>
      <c r="I41" s="19">
        <f t="shared" ref="I41:I48" si="237">G41*H41</f>
        <v>208.29999999999927</v>
      </c>
      <c r="J41" s="12">
        <v>2890.7</v>
      </c>
      <c r="K41" s="17">
        <f t="shared" ref="K41:K48" si="238">J40</f>
        <v>2810.5</v>
      </c>
      <c r="L41" s="19">
        <f t="shared" ref="L41:L48" si="239">J41-K41</f>
        <v>80.199999999999818</v>
      </c>
      <c r="M41" s="17">
        <f t="shared" si="99"/>
        <v>1</v>
      </c>
      <c r="N41" s="19">
        <f t="shared" ref="N41:N48" si="240">L41*M41</f>
        <v>80.199999999999818</v>
      </c>
      <c r="O41" s="17">
        <f t="shared" ref="O41:O48" si="241">N41-I41</f>
        <v>-128.09999999999945</v>
      </c>
      <c r="P41" s="12">
        <v>33767</v>
      </c>
      <c r="Q41" s="17">
        <f t="shared" ref="Q41:Q48" si="242">P40</f>
        <v>33685.699999999997</v>
      </c>
      <c r="R41" s="19">
        <f t="shared" ref="R41:R48" si="243">P41-Q41</f>
        <v>81.30000000000291</v>
      </c>
      <c r="S41" s="17">
        <f t="shared" si="104"/>
        <v>1</v>
      </c>
      <c r="T41" s="19">
        <f t="shared" ref="T41:T48" si="244">R41*S41</f>
        <v>81.30000000000291</v>
      </c>
      <c r="U41" s="19">
        <v>1.86</v>
      </c>
      <c r="V41" s="19">
        <v>0.84</v>
      </c>
      <c r="W41" s="25"/>
    </row>
    <row r="42" spans="1:23" ht="15.75" x14ac:dyDescent="0.25">
      <c r="A42" s="12">
        <v>34</v>
      </c>
      <c r="B42" s="22" t="s">
        <v>292</v>
      </c>
      <c r="C42" s="19" t="s">
        <v>160</v>
      </c>
      <c r="D42" s="19" t="s">
        <v>124</v>
      </c>
      <c r="E42" s="12">
        <v>8351.1</v>
      </c>
      <c r="F42" s="17">
        <f t="shared" si="235"/>
        <v>8042.9</v>
      </c>
      <c r="G42" s="19">
        <f t="shared" si="236"/>
        <v>308.20000000000073</v>
      </c>
      <c r="H42" s="91">
        <f t="shared" si="95"/>
        <v>1</v>
      </c>
      <c r="I42" s="19">
        <f t="shared" si="237"/>
        <v>308.20000000000073</v>
      </c>
      <c r="J42" s="12">
        <v>3033.6</v>
      </c>
      <c r="K42" s="17">
        <f t="shared" si="238"/>
        <v>2890.7</v>
      </c>
      <c r="L42" s="19">
        <f t="shared" si="239"/>
        <v>142.90000000000009</v>
      </c>
      <c r="M42" s="17">
        <f t="shared" si="99"/>
        <v>1</v>
      </c>
      <c r="N42" s="19">
        <f t="shared" si="240"/>
        <v>142.90000000000009</v>
      </c>
      <c r="O42" s="17">
        <f t="shared" si="241"/>
        <v>-165.30000000000064</v>
      </c>
      <c r="P42" s="12">
        <v>33979.699999999997</v>
      </c>
      <c r="Q42" s="17">
        <f t="shared" si="242"/>
        <v>33767</v>
      </c>
      <c r="R42" s="19">
        <f t="shared" si="243"/>
        <v>212.69999999999709</v>
      </c>
      <c r="S42" s="17">
        <f t="shared" si="104"/>
        <v>1</v>
      </c>
      <c r="T42" s="19">
        <f t="shared" si="244"/>
        <v>212.69999999999709</v>
      </c>
      <c r="U42" s="19">
        <v>1.29</v>
      </c>
      <c r="V42" s="19">
        <v>0.93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160</v>
      </c>
      <c r="D44" s="19" t="s">
        <v>124</v>
      </c>
      <c r="E44" s="12">
        <v>8597.6</v>
      </c>
      <c r="F44" s="17">
        <f>E42</f>
        <v>8351.1</v>
      </c>
      <c r="G44" s="19">
        <f t="shared" si="236"/>
        <v>246.5</v>
      </c>
      <c r="H44" s="91">
        <f>H42</f>
        <v>1</v>
      </c>
      <c r="I44" s="19">
        <f t="shared" si="237"/>
        <v>246.5</v>
      </c>
      <c r="J44" s="12">
        <v>3218</v>
      </c>
      <c r="K44" s="17">
        <f>J42</f>
        <v>3033.6</v>
      </c>
      <c r="L44" s="19">
        <f t="shared" si="239"/>
        <v>184.40000000000009</v>
      </c>
      <c r="M44" s="17">
        <f>M42</f>
        <v>1</v>
      </c>
      <c r="N44" s="19">
        <f t="shared" si="240"/>
        <v>184.40000000000009</v>
      </c>
      <c r="O44" s="17">
        <f t="shared" si="241"/>
        <v>-62.099999999999909</v>
      </c>
      <c r="P44" s="12">
        <v>34284.6</v>
      </c>
      <c r="Q44" s="17">
        <f>P42</f>
        <v>33979.699999999997</v>
      </c>
      <c r="R44" s="19">
        <f t="shared" si="243"/>
        <v>304.90000000000146</v>
      </c>
      <c r="S44" s="17">
        <f>S42</f>
        <v>1</v>
      </c>
      <c r="T44" s="19">
        <f t="shared" si="244"/>
        <v>304.90000000000146</v>
      </c>
      <c r="U44" s="19">
        <v>1.19</v>
      </c>
      <c r="V44" s="19">
        <v>0.97</v>
      </c>
      <c r="W44" s="25"/>
    </row>
    <row r="45" spans="1:23" ht="15.75" x14ac:dyDescent="0.25">
      <c r="A45" s="12">
        <v>36</v>
      </c>
      <c r="B45" s="22" t="s">
        <v>294</v>
      </c>
      <c r="C45" s="19" t="s">
        <v>160</v>
      </c>
      <c r="D45" s="19" t="s">
        <v>124</v>
      </c>
      <c r="E45" s="12">
        <v>8786.7999999999993</v>
      </c>
      <c r="F45" s="17">
        <f t="shared" si="235"/>
        <v>8597.6</v>
      </c>
      <c r="G45" s="19">
        <f t="shared" si="236"/>
        <v>189.19999999999891</v>
      </c>
      <c r="H45" s="91">
        <f t="shared" si="95"/>
        <v>1</v>
      </c>
      <c r="I45" s="19">
        <f t="shared" si="237"/>
        <v>189.19999999999891</v>
      </c>
      <c r="J45" s="12">
        <v>3378.9</v>
      </c>
      <c r="K45" s="17">
        <f t="shared" si="238"/>
        <v>3218</v>
      </c>
      <c r="L45" s="19">
        <f t="shared" si="239"/>
        <v>160.90000000000009</v>
      </c>
      <c r="M45" s="17">
        <f t="shared" si="99"/>
        <v>1</v>
      </c>
      <c r="N45" s="19">
        <f t="shared" si="240"/>
        <v>160.90000000000009</v>
      </c>
      <c r="O45" s="17">
        <f t="shared" si="241"/>
        <v>-28.299999999998818</v>
      </c>
      <c r="P45" s="12">
        <v>34484.699999999997</v>
      </c>
      <c r="Q45" s="17">
        <f>P44</f>
        <v>34284.6</v>
      </c>
      <c r="R45" s="19">
        <f t="shared" si="243"/>
        <v>200.09999999999854</v>
      </c>
      <c r="S45" s="17">
        <f t="shared" si="104"/>
        <v>1</v>
      </c>
      <c r="T45" s="19">
        <f t="shared" si="244"/>
        <v>200.09999999999854</v>
      </c>
      <c r="U45" s="19">
        <v>1.79</v>
      </c>
      <c r="V45" s="19">
        <v>0.98</v>
      </c>
      <c r="W45" s="25"/>
    </row>
    <row r="46" spans="1:23" ht="15.75" x14ac:dyDescent="0.25">
      <c r="A46" s="12">
        <v>37</v>
      </c>
      <c r="B46" s="22" t="s">
        <v>295</v>
      </c>
      <c r="C46" s="19" t="s">
        <v>160</v>
      </c>
      <c r="D46" s="19" t="s">
        <v>124</v>
      </c>
      <c r="E46" s="12">
        <v>9052.5</v>
      </c>
      <c r="F46" s="17">
        <f t="shared" si="235"/>
        <v>8786.7999999999993</v>
      </c>
      <c r="G46" s="19">
        <f t="shared" si="236"/>
        <v>265.70000000000073</v>
      </c>
      <c r="H46" s="91">
        <f t="shared" si="95"/>
        <v>1</v>
      </c>
      <c r="I46" s="19">
        <f t="shared" si="237"/>
        <v>265.70000000000073</v>
      </c>
      <c r="J46" s="12">
        <v>3518.8</v>
      </c>
      <c r="K46" s="17">
        <f t="shared" si="238"/>
        <v>3378.9</v>
      </c>
      <c r="L46" s="19">
        <f t="shared" si="239"/>
        <v>139.90000000000009</v>
      </c>
      <c r="M46" s="17">
        <f t="shared" si="99"/>
        <v>1</v>
      </c>
      <c r="N46" s="19">
        <f t="shared" si="240"/>
        <v>139.90000000000009</v>
      </c>
      <c r="O46" s="17">
        <f t="shared" si="241"/>
        <v>-125.80000000000064</v>
      </c>
      <c r="P46" s="12">
        <v>34717.699999999997</v>
      </c>
      <c r="Q46" s="17">
        <f t="shared" si="242"/>
        <v>34484.699999999997</v>
      </c>
      <c r="R46" s="19">
        <f t="shared" si="243"/>
        <v>233</v>
      </c>
      <c r="S46" s="17">
        <f t="shared" si="104"/>
        <v>1</v>
      </c>
      <c r="T46" s="19">
        <f t="shared" si="244"/>
        <v>233</v>
      </c>
      <c r="U46" s="19">
        <v>1.43</v>
      </c>
      <c r="V46" s="19">
        <v>0.93</v>
      </c>
      <c r="W46" s="25"/>
    </row>
    <row r="47" spans="1:23" ht="15.75" x14ac:dyDescent="0.25">
      <c r="A47" s="12">
        <v>38</v>
      </c>
      <c r="B47" s="22" t="s">
        <v>296</v>
      </c>
      <c r="C47" s="19" t="s">
        <v>160</v>
      </c>
      <c r="D47" s="19" t="s">
        <v>124</v>
      </c>
      <c r="E47" s="12">
        <v>9399.2999999999993</v>
      </c>
      <c r="F47" s="17">
        <f t="shared" si="235"/>
        <v>9052.5</v>
      </c>
      <c r="G47" s="19">
        <f t="shared" si="236"/>
        <v>346.79999999999927</v>
      </c>
      <c r="H47" s="91">
        <f t="shared" si="95"/>
        <v>1</v>
      </c>
      <c r="I47" s="19">
        <f t="shared" si="237"/>
        <v>346.79999999999927</v>
      </c>
      <c r="J47" s="12">
        <v>3598.2</v>
      </c>
      <c r="K47" s="17">
        <f t="shared" si="238"/>
        <v>3518.8</v>
      </c>
      <c r="L47" s="19">
        <f t="shared" si="239"/>
        <v>79.399999999999636</v>
      </c>
      <c r="M47" s="17">
        <f t="shared" si="99"/>
        <v>1</v>
      </c>
      <c r="N47" s="19">
        <f t="shared" si="240"/>
        <v>79.399999999999636</v>
      </c>
      <c r="O47" s="17">
        <f t="shared" si="241"/>
        <v>-267.39999999999964</v>
      </c>
      <c r="P47" s="12">
        <v>34898</v>
      </c>
      <c r="Q47" s="17">
        <f t="shared" si="242"/>
        <v>34717.699999999997</v>
      </c>
      <c r="R47" s="19">
        <f t="shared" si="243"/>
        <v>180.30000000000291</v>
      </c>
      <c r="S47" s="17">
        <f t="shared" si="104"/>
        <v>1</v>
      </c>
      <c r="T47" s="19">
        <f t="shared" si="244"/>
        <v>180.30000000000291</v>
      </c>
      <c r="U47" s="19">
        <v>1.22</v>
      </c>
      <c r="V47" s="19">
        <v>0.9</v>
      </c>
      <c r="W47" s="25"/>
    </row>
    <row r="48" spans="1:23" ht="15.75" x14ac:dyDescent="0.25">
      <c r="A48" s="12">
        <v>39</v>
      </c>
      <c r="B48" s="22" t="s">
        <v>297</v>
      </c>
      <c r="C48" s="19" t="s">
        <v>160</v>
      </c>
      <c r="D48" s="19" t="s">
        <v>124</v>
      </c>
      <c r="E48" s="12">
        <v>9736.2000000000007</v>
      </c>
      <c r="F48" s="17">
        <f t="shared" si="235"/>
        <v>9399.2999999999993</v>
      </c>
      <c r="G48" s="19">
        <f t="shared" si="236"/>
        <v>336.90000000000146</v>
      </c>
      <c r="H48" s="91">
        <f t="shared" si="95"/>
        <v>1</v>
      </c>
      <c r="I48" s="19">
        <f t="shared" si="237"/>
        <v>336.90000000000146</v>
      </c>
      <c r="J48" s="12">
        <v>3683</v>
      </c>
      <c r="K48" s="17">
        <f t="shared" si="238"/>
        <v>3598.2</v>
      </c>
      <c r="L48" s="19">
        <f t="shared" si="239"/>
        <v>84.800000000000182</v>
      </c>
      <c r="M48" s="17">
        <f t="shared" si="99"/>
        <v>1</v>
      </c>
      <c r="N48" s="19">
        <f t="shared" si="240"/>
        <v>84.800000000000182</v>
      </c>
      <c r="O48" s="17">
        <f t="shared" si="241"/>
        <v>-252.10000000000127</v>
      </c>
      <c r="P48" s="12">
        <v>35092</v>
      </c>
      <c r="Q48" s="17">
        <f t="shared" si="242"/>
        <v>34898</v>
      </c>
      <c r="R48" s="19">
        <f t="shared" si="243"/>
        <v>194</v>
      </c>
      <c r="S48" s="17">
        <f t="shared" si="104"/>
        <v>1</v>
      </c>
      <c r="T48" s="19">
        <f t="shared" si="244"/>
        <v>194</v>
      </c>
      <c r="U48" s="19">
        <v>1.61</v>
      </c>
      <c r="V48" s="19">
        <v>0.81</v>
      </c>
      <c r="W48" s="25"/>
    </row>
    <row r="49" spans="1:23" ht="15.75" x14ac:dyDescent="0.25">
      <c r="A49" s="12">
        <v>40</v>
      </c>
      <c r="B49" s="22" t="s">
        <v>298</v>
      </c>
      <c r="C49" s="19" t="s">
        <v>160</v>
      </c>
      <c r="D49" s="19" t="s">
        <v>124</v>
      </c>
      <c r="E49" s="12">
        <v>10016.200000000001</v>
      </c>
      <c r="F49" s="17">
        <f t="shared" ref="F49" si="245">E48</f>
        <v>9736.2000000000007</v>
      </c>
      <c r="G49" s="19">
        <f t="shared" ref="G49" si="246">E49-F49</f>
        <v>280</v>
      </c>
      <c r="H49" s="91">
        <f t="shared" si="95"/>
        <v>1</v>
      </c>
      <c r="I49" s="19">
        <f t="shared" ref="I49" si="247">G49*H49</f>
        <v>280</v>
      </c>
      <c r="J49" s="12">
        <v>3753</v>
      </c>
      <c r="K49" s="17">
        <f t="shared" ref="K49" si="248">J48</f>
        <v>3683</v>
      </c>
      <c r="L49" s="19">
        <f t="shared" ref="L49" si="249">J49-K49</f>
        <v>70</v>
      </c>
      <c r="M49" s="17">
        <f t="shared" si="99"/>
        <v>1</v>
      </c>
      <c r="N49" s="19">
        <f t="shared" ref="N49" si="250">L49*M49</f>
        <v>70</v>
      </c>
      <c r="O49" s="17">
        <f t="shared" ref="O49" si="251">N49-I49</f>
        <v>-210</v>
      </c>
      <c r="P49" s="12">
        <v>35272</v>
      </c>
      <c r="Q49" s="17">
        <f t="shared" ref="Q49" si="252">P48</f>
        <v>35092</v>
      </c>
      <c r="R49" s="19">
        <f t="shared" ref="R49" si="253">P49-Q49</f>
        <v>180</v>
      </c>
      <c r="S49" s="17">
        <f t="shared" si="104"/>
        <v>1</v>
      </c>
      <c r="T49" s="19">
        <f t="shared" ref="T49" si="254">R49*S49</f>
        <v>180</v>
      </c>
      <c r="U49" s="19">
        <v>1.3</v>
      </c>
      <c r="V49" s="19">
        <v>0.95</v>
      </c>
      <c r="W49" s="25"/>
    </row>
    <row r="50" spans="1:23" ht="15.75" x14ac:dyDescent="0.25">
      <c r="A50" s="12">
        <v>41</v>
      </c>
      <c r="B50" s="22" t="s">
        <v>299</v>
      </c>
      <c r="C50" s="19" t="s">
        <v>160</v>
      </c>
      <c r="D50" s="19" t="s">
        <v>124</v>
      </c>
      <c r="E50" s="12">
        <v>10363.299999999999</v>
      </c>
      <c r="F50" s="17">
        <f t="shared" ref="F50" si="255">E49</f>
        <v>10016.200000000001</v>
      </c>
      <c r="G50" s="19">
        <f t="shared" ref="G50" si="256">E50-F50</f>
        <v>347.09999999999854</v>
      </c>
      <c r="H50" s="91">
        <f t="shared" si="95"/>
        <v>1</v>
      </c>
      <c r="I50" s="19">
        <f t="shared" ref="I50" si="257">G50*H50</f>
        <v>347.09999999999854</v>
      </c>
      <c r="J50" s="12">
        <v>3915.2</v>
      </c>
      <c r="K50" s="17">
        <f t="shared" ref="K50" si="258">J49</f>
        <v>3753</v>
      </c>
      <c r="L50" s="19">
        <f t="shared" ref="L50" si="259">J50-K50</f>
        <v>162.19999999999982</v>
      </c>
      <c r="M50" s="17">
        <f t="shared" si="99"/>
        <v>1</v>
      </c>
      <c r="N50" s="19">
        <f t="shared" ref="N50" si="260">L50*M50</f>
        <v>162.19999999999982</v>
      </c>
      <c r="O50" s="17">
        <f t="shared" ref="O50" si="261">N50-I50</f>
        <v>-184.89999999999873</v>
      </c>
      <c r="P50" s="12">
        <v>35521.5</v>
      </c>
      <c r="Q50" s="17">
        <f t="shared" ref="Q50" si="262">P49</f>
        <v>35272</v>
      </c>
      <c r="R50" s="19">
        <f t="shared" ref="R50" si="263">P50-Q50</f>
        <v>249.5</v>
      </c>
      <c r="S50" s="17">
        <f t="shared" si="104"/>
        <v>1</v>
      </c>
      <c r="T50" s="19">
        <f t="shared" ref="T50" si="264">R50*S50</f>
        <v>249.5</v>
      </c>
      <c r="U50" s="19">
        <v>1.27</v>
      </c>
      <c r="V50" s="19">
        <v>0.96</v>
      </c>
      <c r="W50" s="25"/>
    </row>
    <row r="51" spans="1:23" ht="15.75" x14ac:dyDescent="0.25">
      <c r="A51" s="12">
        <v>42</v>
      </c>
      <c r="B51" s="22" t="s">
        <v>300</v>
      </c>
      <c r="C51" s="19" t="s">
        <v>160</v>
      </c>
      <c r="D51" s="19" t="s">
        <v>124</v>
      </c>
      <c r="E51" s="12">
        <v>10743.5</v>
      </c>
      <c r="F51" s="17">
        <f t="shared" ref="F51:F54" si="265">E50</f>
        <v>10363.299999999999</v>
      </c>
      <c r="G51" s="19">
        <f t="shared" ref="G51:G54" si="266">E51-F51</f>
        <v>380.20000000000073</v>
      </c>
      <c r="H51" s="91">
        <f t="shared" si="95"/>
        <v>1</v>
      </c>
      <c r="I51" s="19">
        <f t="shared" ref="I51:I54" si="267">G51*H51</f>
        <v>380.20000000000073</v>
      </c>
      <c r="J51" s="12">
        <v>3948.5</v>
      </c>
      <c r="K51" s="17">
        <f t="shared" ref="K51:K54" si="268">J50</f>
        <v>3915.2</v>
      </c>
      <c r="L51" s="19">
        <f t="shared" ref="L51:L54" si="269">J51-K51</f>
        <v>33.300000000000182</v>
      </c>
      <c r="M51" s="17">
        <f t="shared" si="99"/>
        <v>1</v>
      </c>
      <c r="N51" s="19">
        <f t="shared" ref="N51:N54" si="270">L51*M51</f>
        <v>33.300000000000182</v>
      </c>
      <c r="O51" s="17">
        <f t="shared" ref="O51:O54" si="271">N51-I51</f>
        <v>-346.90000000000055</v>
      </c>
      <c r="P51" s="12">
        <v>35643.9</v>
      </c>
      <c r="Q51" s="17">
        <f t="shared" ref="Q51:Q54" si="272">P50</f>
        <v>35521.5</v>
      </c>
      <c r="R51" s="19">
        <f t="shared" ref="R51:R54" si="273">P51-Q51</f>
        <v>122.40000000000146</v>
      </c>
      <c r="S51" s="17">
        <f t="shared" si="104"/>
        <v>1</v>
      </c>
      <c r="T51" s="19">
        <f t="shared" ref="T51:T54" si="274">R51*S51</f>
        <v>122.40000000000146</v>
      </c>
      <c r="U51" s="19">
        <v>1.18</v>
      </c>
      <c r="V51" s="19">
        <v>0.99</v>
      </c>
      <c r="W51" s="25"/>
    </row>
    <row r="52" spans="1:23" ht="15.75" x14ac:dyDescent="0.25">
      <c r="A52" s="12">
        <v>43</v>
      </c>
      <c r="B52" s="22" t="s">
        <v>301</v>
      </c>
      <c r="C52" s="19" t="s">
        <v>160</v>
      </c>
      <c r="D52" s="19" t="s">
        <v>124</v>
      </c>
      <c r="E52" s="12">
        <v>11185.2</v>
      </c>
      <c r="F52" s="17">
        <f t="shared" si="265"/>
        <v>10743.5</v>
      </c>
      <c r="G52" s="19">
        <f t="shared" si="266"/>
        <v>441.70000000000073</v>
      </c>
      <c r="H52" s="91">
        <f t="shared" si="95"/>
        <v>1</v>
      </c>
      <c r="I52" s="19">
        <f t="shared" si="267"/>
        <v>441.70000000000073</v>
      </c>
      <c r="J52" s="12">
        <v>3965</v>
      </c>
      <c r="K52" s="17">
        <f t="shared" si="268"/>
        <v>3948.5</v>
      </c>
      <c r="L52" s="19">
        <f t="shared" si="269"/>
        <v>16.5</v>
      </c>
      <c r="M52" s="17">
        <f t="shared" si="99"/>
        <v>1</v>
      </c>
      <c r="N52" s="19">
        <f t="shared" si="270"/>
        <v>16.5</v>
      </c>
      <c r="O52" s="17">
        <f t="shared" si="271"/>
        <v>-425.20000000000073</v>
      </c>
      <c r="P52" s="12">
        <v>35740</v>
      </c>
      <c r="Q52" s="17">
        <f t="shared" si="272"/>
        <v>35643.9</v>
      </c>
      <c r="R52" s="19">
        <f t="shared" si="273"/>
        <v>96.099999999998545</v>
      </c>
      <c r="S52" s="17">
        <f t="shared" si="104"/>
        <v>1</v>
      </c>
      <c r="T52" s="19">
        <f t="shared" si="274"/>
        <v>96.099999999998545</v>
      </c>
      <c r="U52" s="19">
        <v>1.74</v>
      </c>
      <c r="V52" s="19">
        <v>0.93</v>
      </c>
      <c r="W52" s="25"/>
    </row>
    <row r="53" spans="1:23" ht="15.75" x14ac:dyDescent="0.25">
      <c r="A53" s="12">
        <v>44</v>
      </c>
      <c r="B53" s="22" t="s">
        <v>302</v>
      </c>
      <c r="C53" s="19" t="s">
        <v>160</v>
      </c>
      <c r="D53" s="19" t="s">
        <v>124</v>
      </c>
      <c r="E53" s="12">
        <v>11634.5</v>
      </c>
      <c r="F53" s="17">
        <f t="shared" si="265"/>
        <v>11185.2</v>
      </c>
      <c r="G53" s="19">
        <f t="shared" si="266"/>
        <v>449.29999999999927</v>
      </c>
      <c r="H53" s="91">
        <f t="shared" si="95"/>
        <v>1</v>
      </c>
      <c r="I53" s="19">
        <f t="shared" si="267"/>
        <v>449.29999999999927</v>
      </c>
      <c r="J53" s="12">
        <v>3991.2</v>
      </c>
      <c r="K53" s="17">
        <f t="shared" si="268"/>
        <v>3965</v>
      </c>
      <c r="L53" s="19">
        <f t="shared" si="269"/>
        <v>26.199999999999818</v>
      </c>
      <c r="M53" s="17">
        <f t="shared" si="99"/>
        <v>1</v>
      </c>
      <c r="N53" s="19">
        <f t="shared" si="270"/>
        <v>26.199999999999818</v>
      </c>
      <c r="O53" s="17">
        <f t="shared" si="271"/>
        <v>-423.09999999999945</v>
      </c>
      <c r="P53" s="12">
        <v>35844.699999999997</v>
      </c>
      <c r="Q53" s="17">
        <f t="shared" si="272"/>
        <v>35740</v>
      </c>
      <c r="R53" s="19">
        <f t="shared" si="273"/>
        <v>104.69999999999709</v>
      </c>
      <c r="S53" s="17">
        <f t="shared" si="104"/>
        <v>1</v>
      </c>
      <c r="T53" s="19">
        <f t="shared" si="274"/>
        <v>104.69999999999709</v>
      </c>
      <c r="U53" s="19">
        <v>1.62</v>
      </c>
      <c r="V53" s="19">
        <v>0.94</v>
      </c>
      <c r="W53" s="25"/>
    </row>
    <row r="54" spans="1:23" ht="15.75" x14ac:dyDescent="0.25">
      <c r="A54" s="105">
        <v>45</v>
      </c>
      <c r="B54" s="22" t="s">
        <v>303</v>
      </c>
      <c r="C54" s="111" t="s">
        <v>160</v>
      </c>
      <c r="D54" s="111" t="s">
        <v>124</v>
      </c>
      <c r="E54" s="105">
        <v>12048.6</v>
      </c>
      <c r="F54" s="106">
        <f t="shared" si="265"/>
        <v>11634.5</v>
      </c>
      <c r="G54" s="111">
        <f t="shared" si="266"/>
        <v>414.10000000000036</v>
      </c>
      <c r="H54" s="91">
        <f t="shared" si="95"/>
        <v>1</v>
      </c>
      <c r="I54" s="111">
        <f t="shared" si="267"/>
        <v>414.10000000000036</v>
      </c>
      <c r="J54" s="105">
        <v>4046</v>
      </c>
      <c r="K54" s="106">
        <f t="shared" si="268"/>
        <v>3991.2</v>
      </c>
      <c r="L54" s="111">
        <f t="shared" si="269"/>
        <v>54.800000000000182</v>
      </c>
      <c r="M54" s="106">
        <f t="shared" si="99"/>
        <v>1</v>
      </c>
      <c r="N54" s="111">
        <f t="shared" si="270"/>
        <v>54.800000000000182</v>
      </c>
      <c r="O54" s="106">
        <f t="shared" si="271"/>
        <v>-359.30000000000018</v>
      </c>
      <c r="P54" s="105">
        <v>36001.199999999997</v>
      </c>
      <c r="Q54" s="106">
        <f t="shared" si="272"/>
        <v>35844.699999999997</v>
      </c>
      <c r="R54" s="111">
        <f t="shared" si="273"/>
        <v>156.5</v>
      </c>
      <c r="S54" s="106">
        <f t="shared" si="104"/>
        <v>1</v>
      </c>
      <c r="T54" s="111">
        <f t="shared" si="274"/>
        <v>156.5</v>
      </c>
      <c r="U54" s="111">
        <v>1.39</v>
      </c>
      <c r="V54" s="111">
        <v>0.91</v>
      </c>
      <c r="W54" s="25"/>
    </row>
    <row r="55" spans="1:23" ht="15.75" x14ac:dyDescent="0.25">
      <c r="A55" s="125">
        <v>46</v>
      </c>
      <c r="B55" s="116" t="s">
        <v>305</v>
      </c>
      <c r="C55" s="123" t="s">
        <v>160</v>
      </c>
      <c r="D55" s="123" t="s">
        <v>124</v>
      </c>
      <c r="E55" s="125">
        <v>12540.7</v>
      </c>
      <c r="F55" s="124">
        <f t="shared" ref="F55" si="275">E54</f>
        <v>12048.6</v>
      </c>
      <c r="G55" s="123">
        <f t="shared" ref="G55" si="276">E55-F55</f>
        <v>492.10000000000036</v>
      </c>
      <c r="H55" s="91">
        <f t="shared" si="95"/>
        <v>1</v>
      </c>
      <c r="I55" s="123">
        <f t="shared" ref="I55" si="277">G55*H55</f>
        <v>492.10000000000036</v>
      </c>
      <c r="J55" s="125">
        <v>4146.5</v>
      </c>
      <c r="K55" s="124">
        <f t="shared" ref="K55" si="278">J54</f>
        <v>4046</v>
      </c>
      <c r="L55" s="123">
        <f t="shared" ref="L55" si="279">J55-K55</f>
        <v>100.5</v>
      </c>
      <c r="M55" s="124">
        <f t="shared" si="99"/>
        <v>1</v>
      </c>
      <c r="N55" s="123">
        <f t="shared" ref="N55" si="280">L55*M55</f>
        <v>100.5</v>
      </c>
      <c r="O55" s="124">
        <f t="shared" ref="O55" si="281">N55-I55</f>
        <v>-391.60000000000036</v>
      </c>
      <c r="P55" s="125">
        <v>36253.1</v>
      </c>
      <c r="Q55" s="124">
        <f t="shared" ref="Q55" si="282">P54</f>
        <v>36001.199999999997</v>
      </c>
      <c r="R55" s="123">
        <f t="shared" ref="R55" si="283">P55-Q55</f>
        <v>251.90000000000146</v>
      </c>
      <c r="S55" s="124">
        <f t="shared" si="104"/>
        <v>1</v>
      </c>
      <c r="T55" s="123">
        <f t="shared" ref="T55" si="284">R55*S55</f>
        <v>251.90000000000146</v>
      </c>
      <c r="U55" s="123">
        <v>1.84</v>
      </c>
      <c r="V55" s="123">
        <v>0.94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160</v>
      </c>
      <c r="D57" s="123" t="s">
        <v>124</v>
      </c>
      <c r="E57" s="125">
        <v>12786.9</v>
      </c>
      <c r="F57" s="124">
        <f t="shared" ref="F57" si="285">E55</f>
        <v>12540.7</v>
      </c>
      <c r="G57" s="123">
        <f t="shared" ref="G57" si="286">E57-F57</f>
        <v>246.19999999999891</v>
      </c>
      <c r="H57" s="91">
        <f>H55</f>
        <v>1</v>
      </c>
      <c r="I57" s="123">
        <f t="shared" ref="I57" si="287">G57*H57</f>
        <v>246.19999999999891</v>
      </c>
      <c r="J57" s="125">
        <v>4316.3999999999996</v>
      </c>
      <c r="K57" s="124">
        <f t="shared" ref="K57" si="288">J55</f>
        <v>4146.5</v>
      </c>
      <c r="L57" s="123">
        <f t="shared" ref="L57" si="289">J57-K57</f>
        <v>169.89999999999964</v>
      </c>
      <c r="M57" s="124">
        <f>M55</f>
        <v>1</v>
      </c>
      <c r="N57" s="123">
        <f t="shared" ref="N57" si="290">L57*M57</f>
        <v>169.89999999999964</v>
      </c>
      <c r="O57" s="124">
        <f t="shared" ref="O57" si="291">N57-I57</f>
        <v>-76.299999999999272</v>
      </c>
      <c r="P57" s="125">
        <v>36503.300000000003</v>
      </c>
      <c r="Q57" s="124">
        <f t="shared" ref="Q57" si="292">P55</f>
        <v>36253.1</v>
      </c>
      <c r="R57" s="123">
        <f t="shared" ref="R57" si="293">P57-Q57</f>
        <v>250.20000000000437</v>
      </c>
      <c r="S57" s="124">
        <f>S55</f>
        <v>1</v>
      </c>
      <c r="T57" s="123">
        <f t="shared" ref="T57" si="294">R57*S57</f>
        <v>250.20000000000437</v>
      </c>
      <c r="U57" s="123">
        <v>1.84</v>
      </c>
      <c r="V57" s="123">
        <v>0.98</v>
      </c>
      <c r="W57" s="25"/>
    </row>
    <row r="58" spans="1:23" ht="15.75" x14ac:dyDescent="0.25">
      <c r="A58" s="126">
        <v>48</v>
      </c>
      <c r="B58" s="116" t="s">
        <v>307</v>
      </c>
      <c r="C58" s="129" t="s">
        <v>160</v>
      </c>
      <c r="D58" s="129" t="s">
        <v>124</v>
      </c>
      <c r="E58" s="126">
        <v>12988.2</v>
      </c>
      <c r="F58" s="127">
        <f t="shared" ref="F58" si="295">E57</f>
        <v>12786.9</v>
      </c>
      <c r="G58" s="129">
        <f t="shared" ref="G58" si="296">E58-F58</f>
        <v>201.30000000000109</v>
      </c>
      <c r="H58" s="91">
        <f t="shared" si="95"/>
        <v>1</v>
      </c>
      <c r="I58" s="129">
        <f t="shared" ref="I58" si="297">G58*H58</f>
        <v>201.30000000000109</v>
      </c>
      <c r="J58" s="126">
        <v>4526.6000000000004</v>
      </c>
      <c r="K58" s="127">
        <f t="shared" ref="K58" si="298">J57</f>
        <v>4316.3999999999996</v>
      </c>
      <c r="L58" s="129">
        <f t="shared" ref="L58" si="299">J58-K58</f>
        <v>210.20000000000073</v>
      </c>
      <c r="M58" s="127">
        <f t="shared" si="99"/>
        <v>1</v>
      </c>
      <c r="N58" s="129">
        <f t="shared" ref="N58" si="300">L58*M58</f>
        <v>210.20000000000073</v>
      </c>
      <c r="O58" s="127">
        <f t="shared" ref="O58" si="301">N58-I58</f>
        <v>8.8999999999996362</v>
      </c>
      <c r="P58" s="126">
        <v>36790.199999999997</v>
      </c>
      <c r="Q58" s="127">
        <f t="shared" ref="Q58" si="302">P57</f>
        <v>36503.300000000003</v>
      </c>
      <c r="R58" s="129">
        <f t="shared" ref="R58" si="303">P58-Q58</f>
        <v>286.89999999999418</v>
      </c>
      <c r="S58" s="127">
        <f t="shared" si="104"/>
        <v>1</v>
      </c>
      <c r="T58" s="129">
        <f t="shared" ref="T58" si="304">R58*S58</f>
        <v>286.89999999999418</v>
      </c>
      <c r="U58" s="129">
        <v>1.1299999999999999</v>
      </c>
      <c r="V58" s="129">
        <v>0.88</v>
      </c>
      <c r="W58" s="25"/>
    </row>
    <row r="59" spans="1:23" ht="15.75" x14ac:dyDescent="0.25">
      <c r="A59" s="135">
        <v>49</v>
      </c>
      <c r="B59" s="116" t="s">
        <v>309</v>
      </c>
      <c r="C59" s="138" t="s">
        <v>160</v>
      </c>
      <c r="D59" s="138" t="s">
        <v>124</v>
      </c>
      <c r="E59" s="135">
        <v>13222.2</v>
      </c>
      <c r="F59" s="136">
        <f t="shared" ref="F59" si="305">E58</f>
        <v>12988.2</v>
      </c>
      <c r="G59" s="138">
        <f t="shared" ref="G59:G61" si="306">E59-F59</f>
        <v>234</v>
      </c>
      <c r="H59" s="91">
        <f t="shared" si="95"/>
        <v>1</v>
      </c>
      <c r="I59" s="138">
        <f t="shared" ref="I59:I61" si="307">G59*H59</f>
        <v>234</v>
      </c>
      <c r="J59" s="135">
        <v>4693.1000000000004</v>
      </c>
      <c r="K59" s="136">
        <f t="shared" ref="K59" si="308">J58</f>
        <v>4526.6000000000004</v>
      </c>
      <c r="L59" s="138">
        <f t="shared" ref="L59:L61" si="309">J59-K59</f>
        <v>166.5</v>
      </c>
      <c r="M59" s="136">
        <f t="shared" si="99"/>
        <v>1</v>
      </c>
      <c r="N59" s="138">
        <f t="shared" ref="N59:N61" si="310">L59*M59</f>
        <v>166.5</v>
      </c>
      <c r="O59" s="136">
        <f t="shared" ref="O59:O61" si="311">N59-I59</f>
        <v>-67.5</v>
      </c>
      <c r="P59" s="135">
        <v>37040.6</v>
      </c>
      <c r="Q59" s="136">
        <f t="shared" ref="Q59" si="312">P58</f>
        <v>36790.199999999997</v>
      </c>
      <c r="R59" s="138">
        <f t="shared" ref="R59:R61" si="313">P59-Q59</f>
        <v>250.40000000000146</v>
      </c>
      <c r="S59" s="136">
        <f t="shared" si="104"/>
        <v>1</v>
      </c>
      <c r="T59" s="138">
        <f t="shared" ref="T59:T61" si="314">R59*S59</f>
        <v>250.40000000000146</v>
      </c>
      <c r="U59" s="138">
        <v>1.48</v>
      </c>
      <c r="V59" s="138">
        <v>0.89</v>
      </c>
      <c r="W59" s="25"/>
    </row>
    <row r="60" spans="1:23" ht="15.75" x14ac:dyDescent="0.25">
      <c r="A60" s="146">
        <v>50</v>
      </c>
      <c r="B60" s="116" t="s">
        <v>310</v>
      </c>
      <c r="C60" s="144" t="s">
        <v>160</v>
      </c>
      <c r="D60" s="144" t="s">
        <v>124</v>
      </c>
      <c r="E60" s="146">
        <v>13523.3</v>
      </c>
      <c r="F60" s="145">
        <f t="shared" ref="F60" si="315">E58</f>
        <v>12988.2</v>
      </c>
      <c r="G60" s="144">
        <f t="shared" si="306"/>
        <v>535.09999999999854</v>
      </c>
      <c r="H60" s="91">
        <f>H58</f>
        <v>1</v>
      </c>
      <c r="I60" s="144">
        <f t="shared" si="307"/>
        <v>535.09999999999854</v>
      </c>
      <c r="J60" s="146">
        <v>4788.7</v>
      </c>
      <c r="K60" s="145">
        <f t="shared" ref="K60" si="316">J58</f>
        <v>4526.6000000000004</v>
      </c>
      <c r="L60" s="144">
        <f t="shared" si="309"/>
        <v>262.09999999999945</v>
      </c>
      <c r="M60" s="145">
        <f>M58</f>
        <v>1</v>
      </c>
      <c r="N60" s="144">
        <f t="shared" si="310"/>
        <v>262.09999999999945</v>
      </c>
      <c r="O60" s="145">
        <f t="shared" si="311"/>
        <v>-272.99999999999909</v>
      </c>
      <c r="P60" s="146">
        <v>37216.9</v>
      </c>
      <c r="Q60" s="145">
        <f t="shared" ref="Q60" si="317">P58</f>
        <v>36790.199999999997</v>
      </c>
      <c r="R60" s="144">
        <f t="shared" si="313"/>
        <v>426.70000000000437</v>
      </c>
      <c r="S60" s="145">
        <f>S58</f>
        <v>1</v>
      </c>
      <c r="T60" s="144">
        <f t="shared" si="314"/>
        <v>426.70000000000437</v>
      </c>
      <c r="U60" s="144">
        <v>1.8</v>
      </c>
      <c r="V60" s="144">
        <v>0.98</v>
      </c>
      <c r="W60" s="25"/>
    </row>
    <row r="61" spans="1:23" ht="15.75" x14ac:dyDescent="0.25">
      <c r="A61" s="151">
        <v>51</v>
      </c>
      <c r="B61" s="116" t="s">
        <v>316</v>
      </c>
      <c r="C61" s="149" t="s">
        <v>160</v>
      </c>
      <c r="D61" s="149" t="s">
        <v>124</v>
      </c>
      <c r="E61" s="151">
        <v>13836.9</v>
      </c>
      <c r="F61" s="150">
        <v>13523.3</v>
      </c>
      <c r="G61" s="149">
        <f t="shared" si="306"/>
        <v>313.60000000000036</v>
      </c>
      <c r="H61" s="91">
        <f>H58</f>
        <v>1</v>
      </c>
      <c r="I61" s="149">
        <f t="shared" si="307"/>
        <v>313.60000000000036</v>
      </c>
      <c r="J61" s="151">
        <v>4939.5</v>
      </c>
      <c r="K61" s="150">
        <v>4788.7</v>
      </c>
      <c r="L61" s="149">
        <f t="shared" si="309"/>
        <v>150.80000000000018</v>
      </c>
      <c r="M61" s="150">
        <f>M58</f>
        <v>1</v>
      </c>
      <c r="N61" s="149">
        <f t="shared" si="310"/>
        <v>150.80000000000018</v>
      </c>
      <c r="O61" s="150">
        <f t="shared" si="311"/>
        <v>-162.80000000000018</v>
      </c>
      <c r="P61" s="151">
        <v>37452.300000000003</v>
      </c>
      <c r="Q61" s="150">
        <v>37217</v>
      </c>
      <c r="R61" s="149">
        <f t="shared" si="313"/>
        <v>235.30000000000291</v>
      </c>
      <c r="S61" s="150">
        <f>S58</f>
        <v>1</v>
      </c>
      <c r="T61" s="149">
        <f t="shared" si="314"/>
        <v>235.30000000000291</v>
      </c>
      <c r="U61" s="149">
        <v>1.69</v>
      </c>
      <c r="V61" s="149">
        <v>0.91</v>
      </c>
      <c r="W61" s="25"/>
    </row>
    <row r="62" spans="1:23" ht="15.75" x14ac:dyDescent="0.25">
      <c r="A62" s="155">
        <v>52</v>
      </c>
      <c r="B62" s="116" t="s">
        <v>319</v>
      </c>
      <c r="C62" s="142" t="s">
        <v>160</v>
      </c>
      <c r="D62" s="142" t="s">
        <v>124</v>
      </c>
      <c r="E62" s="139">
        <v>14103</v>
      </c>
      <c r="F62" s="140">
        <v>13836</v>
      </c>
      <c r="G62" s="142">
        <f t="shared" ref="G62:G64" si="318">E62-F62</f>
        <v>267</v>
      </c>
      <c r="H62" s="91">
        <f>H59</f>
        <v>1</v>
      </c>
      <c r="I62" s="142">
        <f t="shared" ref="I62:I64" si="319">G62*H62</f>
        <v>267</v>
      </c>
      <c r="J62" s="139">
        <v>5077</v>
      </c>
      <c r="K62" s="140">
        <v>4939</v>
      </c>
      <c r="L62" s="142">
        <f t="shared" ref="L62:L64" si="320">J62-K62</f>
        <v>138</v>
      </c>
      <c r="M62" s="140">
        <f>M59</f>
        <v>1</v>
      </c>
      <c r="N62" s="142">
        <f t="shared" ref="N62:N64" si="321">L62*M62</f>
        <v>138</v>
      </c>
      <c r="O62" s="140">
        <f t="shared" ref="O62:O64" si="322">N62-I62</f>
        <v>-129</v>
      </c>
      <c r="P62" s="139">
        <v>37679</v>
      </c>
      <c r="Q62" s="140">
        <v>37452</v>
      </c>
      <c r="R62" s="142">
        <f t="shared" ref="R62:R64" si="323">P62-Q62</f>
        <v>227</v>
      </c>
      <c r="S62" s="140">
        <f>S59</f>
        <v>1</v>
      </c>
      <c r="T62" s="142">
        <f t="shared" ref="T62:T64" si="324">R62*S62</f>
        <v>227</v>
      </c>
      <c r="U62" s="142">
        <v>1.63</v>
      </c>
      <c r="V62" s="142">
        <v>0.91</v>
      </c>
      <c r="W62" s="25"/>
    </row>
    <row r="63" spans="1:23" ht="15.75" x14ac:dyDescent="0.25">
      <c r="A63" s="170">
        <v>53</v>
      </c>
      <c r="B63" s="116" t="s">
        <v>321</v>
      </c>
      <c r="C63" s="168" t="s">
        <v>160</v>
      </c>
      <c r="D63" s="168" t="s">
        <v>124</v>
      </c>
      <c r="E63" s="170">
        <v>14315</v>
      </c>
      <c r="F63" s="170">
        <v>14103</v>
      </c>
      <c r="G63" s="168">
        <f t="shared" si="318"/>
        <v>212</v>
      </c>
      <c r="H63" s="91">
        <f>H59</f>
        <v>1</v>
      </c>
      <c r="I63" s="168">
        <f t="shared" si="319"/>
        <v>212</v>
      </c>
      <c r="J63" s="170">
        <v>5218.7</v>
      </c>
      <c r="K63" s="170">
        <v>5077</v>
      </c>
      <c r="L63" s="168">
        <f t="shared" si="320"/>
        <v>141.69999999999982</v>
      </c>
      <c r="M63" s="169">
        <f>M59</f>
        <v>1</v>
      </c>
      <c r="N63" s="168">
        <f t="shared" si="321"/>
        <v>141.69999999999982</v>
      </c>
      <c r="O63" s="169">
        <f t="shared" si="322"/>
        <v>-70.300000000000182</v>
      </c>
      <c r="P63" s="170">
        <v>37877.800000000003</v>
      </c>
      <c r="Q63" s="170">
        <v>37679</v>
      </c>
      <c r="R63" s="168">
        <f t="shared" si="323"/>
        <v>198.80000000000291</v>
      </c>
      <c r="S63" s="169">
        <f>S59</f>
        <v>1</v>
      </c>
      <c r="T63" s="168">
        <f t="shared" si="324"/>
        <v>198.80000000000291</v>
      </c>
      <c r="U63" s="168">
        <v>1.47</v>
      </c>
      <c r="V63" s="168">
        <v>0.47</v>
      </c>
      <c r="W63" s="25"/>
    </row>
    <row r="64" spans="1:23" ht="15.75" x14ac:dyDescent="0.25">
      <c r="A64" s="175">
        <v>54</v>
      </c>
      <c r="B64" s="116" t="s">
        <v>327</v>
      </c>
      <c r="C64" s="178" t="s">
        <v>160</v>
      </c>
      <c r="D64" s="178" t="s">
        <v>124</v>
      </c>
      <c r="E64" s="175">
        <v>14572.3</v>
      </c>
      <c r="F64" s="175">
        <v>14315</v>
      </c>
      <c r="G64" s="178">
        <f t="shared" si="318"/>
        <v>257.29999999999927</v>
      </c>
      <c r="H64" s="91">
        <f>H59</f>
        <v>1</v>
      </c>
      <c r="I64" s="178">
        <f t="shared" si="319"/>
        <v>257.29999999999927</v>
      </c>
      <c r="J64" s="175">
        <v>5274.2</v>
      </c>
      <c r="K64" s="175">
        <v>5218.7</v>
      </c>
      <c r="L64" s="178">
        <f t="shared" si="320"/>
        <v>55.5</v>
      </c>
      <c r="M64" s="176">
        <f>M59</f>
        <v>1</v>
      </c>
      <c r="N64" s="178">
        <f t="shared" si="321"/>
        <v>55.5</v>
      </c>
      <c r="O64" s="176">
        <f t="shared" si="322"/>
        <v>-201.79999999999927</v>
      </c>
      <c r="P64" s="175">
        <v>37987</v>
      </c>
      <c r="Q64" s="175">
        <v>37878</v>
      </c>
      <c r="R64" s="178">
        <f t="shared" si="323"/>
        <v>109</v>
      </c>
      <c r="S64" s="176">
        <f>S59</f>
        <v>1</v>
      </c>
      <c r="T64" s="178">
        <f t="shared" si="324"/>
        <v>109</v>
      </c>
      <c r="U64" s="178">
        <v>1.1599999999999999</v>
      </c>
      <c r="V64" s="178">
        <v>0.88</v>
      </c>
      <c r="W64" s="25"/>
    </row>
    <row r="65" spans="1:23" ht="15.75" x14ac:dyDescent="0.25">
      <c r="A65" s="155">
        <v>55</v>
      </c>
      <c r="B65" s="116" t="s">
        <v>330</v>
      </c>
      <c r="C65" s="158" t="s">
        <v>160</v>
      </c>
      <c r="D65" s="158" t="s">
        <v>124</v>
      </c>
      <c r="E65" s="155">
        <v>14826.5</v>
      </c>
      <c r="F65" s="175">
        <v>14572.3</v>
      </c>
      <c r="G65" s="158">
        <f t="shared" ref="G65:G66" si="325">E65-F65</f>
        <v>254.20000000000073</v>
      </c>
      <c r="H65" s="91">
        <f>H60</f>
        <v>1</v>
      </c>
      <c r="I65" s="158">
        <f t="shared" ref="I65:I66" si="326">G65*H65</f>
        <v>254.20000000000073</v>
      </c>
      <c r="J65" s="155">
        <v>5311.2</v>
      </c>
      <c r="K65" s="175">
        <v>5274.2</v>
      </c>
      <c r="L65" s="158">
        <f t="shared" ref="L65:L66" si="327">J65-K65</f>
        <v>37</v>
      </c>
      <c r="M65" s="156">
        <f>M60</f>
        <v>1</v>
      </c>
      <c r="N65" s="158">
        <f t="shared" ref="N65:N66" si="328">L65*M65</f>
        <v>37</v>
      </c>
      <c r="O65" s="156">
        <f t="shared" ref="O65:O66" si="329">N65-I65</f>
        <v>-217.20000000000073</v>
      </c>
      <c r="P65" s="155">
        <v>38079.9</v>
      </c>
      <c r="Q65" s="175">
        <v>37987</v>
      </c>
      <c r="R65" s="158">
        <f t="shared" ref="R65:R66" si="330">P65-Q65</f>
        <v>92.900000000001455</v>
      </c>
      <c r="S65" s="156">
        <f>S60</f>
        <v>1</v>
      </c>
      <c r="T65" s="158">
        <f t="shared" ref="T65:T66" si="331">R65*S65</f>
        <v>92.900000000001455</v>
      </c>
      <c r="U65" s="158">
        <v>0.97</v>
      </c>
      <c r="V65" s="158">
        <v>0.77</v>
      </c>
      <c r="W65" s="25"/>
    </row>
    <row r="66" spans="1:23" ht="15.75" x14ac:dyDescent="0.25">
      <c r="A66" s="183">
        <v>56</v>
      </c>
      <c r="B66" s="116" t="s">
        <v>331</v>
      </c>
      <c r="C66" s="186" t="s">
        <v>160</v>
      </c>
      <c r="D66" s="186" t="s">
        <v>124</v>
      </c>
      <c r="E66" s="183">
        <v>15051.1</v>
      </c>
      <c r="F66" s="183">
        <v>14826.5</v>
      </c>
      <c r="G66" s="186">
        <f t="shared" si="325"/>
        <v>224.60000000000036</v>
      </c>
      <c r="H66" s="91">
        <f>H60</f>
        <v>1</v>
      </c>
      <c r="I66" s="186">
        <f t="shared" si="326"/>
        <v>224.60000000000036</v>
      </c>
      <c r="J66" s="183">
        <v>5356.5</v>
      </c>
      <c r="K66" s="183">
        <v>5311.2</v>
      </c>
      <c r="L66" s="186">
        <f t="shared" si="327"/>
        <v>45.300000000000182</v>
      </c>
      <c r="M66" s="184">
        <f>M60</f>
        <v>1</v>
      </c>
      <c r="N66" s="186">
        <f t="shared" si="328"/>
        <v>45.300000000000182</v>
      </c>
      <c r="O66" s="184">
        <f t="shared" si="329"/>
        <v>-179.30000000000018</v>
      </c>
      <c r="P66" s="183">
        <v>38177.199999999997</v>
      </c>
      <c r="Q66" s="183">
        <v>38079.9</v>
      </c>
      <c r="R66" s="186">
        <f t="shared" si="330"/>
        <v>97.299999999995634</v>
      </c>
      <c r="S66" s="184">
        <f>S60</f>
        <v>1</v>
      </c>
      <c r="T66" s="186">
        <f t="shared" si="331"/>
        <v>97.299999999995634</v>
      </c>
      <c r="U66" s="186">
        <v>1</v>
      </c>
      <c r="V66" s="186">
        <v>0.86</v>
      </c>
      <c r="W66" s="25"/>
    </row>
    <row r="67" spans="1:23" ht="15.75" x14ac:dyDescent="0.25">
      <c r="A67" s="182">
        <v>57</v>
      </c>
      <c r="B67" s="116" t="s">
        <v>332</v>
      </c>
      <c r="C67" s="180" t="s">
        <v>160</v>
      </c>
      <c r="D67" s="180" t="s">
        <v>124</v>
      </c>
      <c r="E67" s="182">
        <v>15279</v>
      </c>
      <c r="F67" s="182">
        <v>15051.1</v>
      </c>
      <c r="G67" s="180">
        <f t="shared" ref="G67" si="332">E67-F67</f>
        <v>227.89999999999964</v>
      </c>
      <c r="H67" s="91">
        <f>H61</f>
        <v>1</v>
      </c>
      <c r="I67" s="180">
        <f t="shared" ref="I67" si="333">G67*H67</f>
        <v>227.89999999999964</v>
      </c>
      <c r="J67" s="182">
        <v>5428</v>
      </c>
      <c r="K67" s="182">
        <v>5356.5</v>
      </c>
      <c r="L67" s="180">
        <f t="shared" ref="L67" si="334">J67-K67</f>
        <v>71.5</v>
      </c>
      <c r="M67" s="181">
        <f>M61</f>
        <v>1</v>
      </c>
      <c r="N67" s="180">
        <f t="shared" ref="N67" si="335">L67*M67</f>
        <v>71.5</v>
      </c>
      <c r="O67" s="181">
        <f t="shared" ref="O67" si="336">N67-I67</f>
        <v>-156.39999999999964</v>
      </c>
      <c r="P67" s="182">
        <v>38298</v>
      </c>
      <c r="Q67" s="182">
        <v>38177</v>
      </c>
      <c r="R67" s="180">
        <f t="shared" ref="R67" si="337">P67-Q67</f>
        <v>121</v>
      </c>
      <c r="S67" s="181">
        <f>S61</f>
        <v>1</v>
      </c>
      <c r="T67" s="180">
        <f t="shared" ref="T67" si="338">R67*S67</f>
        <v>121</v>
      </c>
      <c r="U67" s="180">
        <v>1.0900000000000001</v>
      </c>
      <c r="V67" s="180">
        <v>0.97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2" t="s">
        <v>121</v>
      </c>
      <c r="H68" s="162"/>
      <c r="I68" s="164">
        <f>SUM(I57:I65)</f>
        <v>2520.6999999999989</v>
      </c>
      <c r="J68" s="164"/>
      <c r="K68" s="162"/>
      <c r="L68" s="164"/>
      <c r="M68" s="162"/>
      <c r="N68" s="164">
        <f>SUM(N57:N65)</f>
        <v>1331.6999999999998</v>
      </c>
      <c r="O68" s="164">
        <f>SUM(O57:O65)</f>
        <v>-1188.9999999999991</v>
      </c>
      <c r="P68" s="164"/>
      <c r="Q68" s="162"/>
      <c r="R68" s="164"/>
      <c r="S68" s="162"/>
      <c r="T68" s="164">
        <f>SUM(T57:T65)</f>
        <v>2077.2000000000116</v>
      </c>
      <c r="U68" s="164"/>
      <c r="V68" s="164"/>
      <c r="W68" s="31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38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38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38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24"/>
      <c r="V71" s="24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38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24"/>
      <c r="V72" s="24"/>
      <c r="W72" s="25"/>
    </row>
    <row r="73" spans="1:23" ht="15.75" x14ac:dyDescent="0.25">
      <c r="A73" s="37"/>
      <c r="B73" s="78"/>
      <c r="C73" s="24"/>
      <c r="D73" s="24"/>
      <c r="E73" s="37"/>
      <c r="F73" s="38"/>
      <c r="G73" s="24"/>
      <c r="H73" s="38"/>
      <c r="I73" s="24"/>
      <c r="J73" s="37"/>
      <c r="K73" s="38"/>
      <c r="L73" s="24"/>
      <c r="M73" s="38"/>
      <c r="N73" s="24"/>
      <c r="O73" s="38"/>
      <c r="P73" s="37"/>
      <c r="Q73" s="38"/>
      <c r="R73" s="24"/>
      <c r="S73" s="38"/>
      <c r="T73" s="24"/>
      <c r="U73" s="24"/>
      <c r="V73" s="24"/>
      <c r="W73" s="25"/>
    </row>
    <row r="74" spans="1:23" ht="15.75" x14ac:dyDescent="0.25">
      <c r="A74" s="37"/>
      <c r="B74" s="78"/>
      <c r="C74" s="24"/>
      <c r="D74" s="24"/>
      <c r="E74" s="37"/>
      <c r="F74" s="38"/>
      <c r="G74" s="24"/>
      <c r="H74" s="38"/>
      <c r="I74" s="24"/>
      <c r="J74" s="37"/>
      <c r="K74" s="38"/>
      <c r="L74" s="24"/>
      <c r="M74" s="38"/>
      <c r="N74" s="24"/>
      <c r="O74" s="38"/>
      <c r="P74" s="37"/>
      <c r="Q74" s="38"/>
      <c r="R74" s="24"/>
      <c r="S74" s="38"/>
      <c r="T74" s="24"/>
      <c r="U74" s="24"/>
      <c r="V74" s="24"/>
      <c r="W74" s="25"/>
    </row>
    <row r="75" spans="1:23" ht="15.75" x14ac:dyDescent="0.25">
      <c r="A75" s="37"/>
      <c r="B75" s="78"/>
      <c r="C75" s="24"/>
      <c r="D75" s="24"/>
      <c r="E75" s="37"/>
      <c r="F75" s="38"/>
      <c r="G75" s="24"/>
      <c r="H75" s="38"/>
      <c r="I75" s="24"/>
      <c r="J75" s="37"/>
      <c r="K75" s="38"/>
      <c r="L75" s="24"/>
      <c r="M75" s="38"/>
      <c r="N75" s="24"/>
      <c r="O75" s="38"/>
      <c r="P75" s="37"/>
      <c r="Q75" s="38"/>
      <c r="R75" s="24"/>
      <c r="S75" s="38"/>
      <c r="T75" s="24"/>
      <c r="U75" s="24"/>
      <c r="V75" s="24"/>
      <c r="W75" s="25"/>
    </row>
    <row r="76" spans="1:23" ht="15.75" x14ac:dyDescent="0.25">
      <c r="A76" s="31">
        <v>1</v>
      </c>
      <c r="B76" s="31" t="s">
        <v>23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37"/>
      <c r="Q76" s="38"/>
      <c r="R76" s="24"/>
      <c r="S76" s="38"/>
      <c r="T76" s="24"/>
      <c r="U76" s="25"/>
      <c r="V76" s="25"/>
      <c r="W76" s="25"/>
    </row>
    <row r="77" spans="1:23" ht="15.75" x14ac:dyDescent="0.25">
      <c r="A77" s="31">
        <v>2</v>
      </c>
      <c r="B77" s="31" t="s">
        <v>24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37"/>
      <c r="Q77" s="38"/>
      <c r="R77" s="24"/>
      <c r="S77" s="38"/>
      <c r="T77" s="24"/>
      <c r="U77" s="25"/>
      <c r="V77" s="25"/>
      <c r="W77" s="25"/>
    </row>
    <row r="78" spans="1:23" ht="15.75" x14ac:dyDescent="0.25">
      <c r="A78" s="31">
        <v>3</v>
      </c>
      <c r="B78" s="31" t="s">
        <v>25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37"/>
      <c r="Q78" s="38"/>
      <c r="R78" s="24"/>
      <c r="S78" s="38"/>
      <c r="T78" s="24"/>
      <c r="U78" s="25"/>
      <c r="V78" s="25"/>
      <c r="W78" s="25"/>
    </row>
    <row r="80" spans="1:23" x14ac:dyDescent="0.25">
      <c r="E80">
        <f>E35-E29</f>
        <v>577.60000000000036</v>
      </c>
      <c r="J80">
        <f>J35-J29</f>
        <v>1286.3000000000002</v>
      </c>
      <c r="P80">
        <f>P35-P29</f>
        <v>1433.9000000000015</v>
      </c>
    </row>
    <row r="81" spans="5:18" x14ac:dyDescent="0.25">
      <c r="E81">
        <f>E80/5</f>
        <v>115.52000000000007</v>
      </c>
      <c r="J81">
        <f>J80/5</f>
        <v>257.26000000000005</v>
      </c>
      <c r="P81">
        <f>P80/5</f>
        <v>286.78000000000031</v>
      </c>
      <c r="R81" t="s">
        <v>65</v>
      </c>
    </row>
  </sheetData>
  <mergeCells count="20">
    <mergeCell ref="A1:V1"/>
    <mergeCell ref="A2:V2"/>
    <mergeCell ref="B3:C3"/>
    <mergeCell ref="E3:I3"/>
    <mergeCell ref="J3:L3"/>
    <mergeCell ref="M3:N3"/>
    <mergeCell ref="O3:U3"/>
    <mergeCell ref="A5:A6"/>
    <mergeCell ref="B5:B6"/>
    <mergeCell ref="C5:C6"/>
    <mergeCell ref="D5:D6"/>
    <mergeCell ref="E5:I5"/>
    <mergeCell ref="J5:N5"/>
    <mergeCell ref="O5:O6"/>
    <mergeCell ref="P5:T5"/>
    <mergeCell ref="B4:C4"/>
    <mergeCell ref="E4:I4"/>
    <mergeCell ref="J4:L4"/>
    <mergeCell ref="M4:N4"/>
    <mergeCell ref="O4:U4"/>
  </mergeCells>
  <printOptions horizontalCentered="1"/>
  <pageMargins left="0" right="0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86"/>
  <sheetViews>
    <sheetView topLeftCell="A40" zoomScale="85" zoomScaleNormal="85" zoomScaleSheetLayoutView="70" workbookViewId="0">
      <selection activeCell="V68" sqref="V68"/>
    </sheetView>
  </sheetViews>
  <sheetFormatPr defaultRowHeight="15" x14ac:dyDescent="0.25"/>
  <cols>
    <col min="1" max="1" width="7.5703125" customWidth="1"/>
    <col min="2" max="2" width="13" customWidth="1"/>
    <col min="3" max="3" width="14.710937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185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187</v>
      </c>
      <c r="C3" s="207"/>
      <c r="D3" s="12" t="s">
        <v>6</v>
      </c>
      <c r="E3" s="201" t="s">
        <v>189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143</v>
      </c>
      <c r="W3" s="25"/>
    </row>
    <row r="4" spans="1:23" ht="15.75" x14ac:dyDescent="0.25">
      <c r="A4" s="12" t="s">
        <v>0</v>
      </c>
      <c r="B4" s="216" t="s">
        <v>188</v>
      </c>
      <c r="C4" s="216"/>
      <c r="D4" s="12" t="s">
        <v>9</v>
      </c>
      <c r="E4" s="201">
        <v>9035668039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>
        <v>43744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190</v>
      </c>
      <c r="D7" s="19" t="s">
        <v>124</v>
      </c>
      <c r="E7" s="17">
        <v>8.6</v>
      </c>
      <c r="F7" s="17">
        <v>0</v>
      </c>
      <c r="G7" s="19">
        <f t="shared" ref="G7:G8" si="0">E7-F7</f>
        <v>8.6</v>
      </c>
      <c r="H7" s="17">
        <v>1</v>
      </c>
      <c r="I7" s="19">
        <f t="shared" ref="I7:I8" si="1">G7*H7</f>
        <v>8.6</v>
      </c>
      <c r="J7" s="17">
        <v>176.7</v>
      </c>
      <c r="K7" s="17">
        <v>0</v>
      </c>
      <c r="L7" s="19">
        <f t="shared" ref="L7" si="2">J7-K7</f>
        <v>176.7</v>
      </c>
      <c r="M7" s="17">
        <v>1</v>
      </c>
      <c r="N7" s="19">
        <f t="shared" ref="N7" si="3">L7*M7</f>
        <v>176.7</v>
      </c>
      <c r="O7" s="17">
        <f>N7-I7</f>
        <v>168.1</v>
      </c>
      <c r="P7" s="17">
        <v>185.8</v>
      </c>
      <c r="Q7" s="17">
        <v>0</v>
      </c>
      <c r="R7" s="19">
        <f t="shared" ref="R7" si="4">P7-Q7</f>
        <v>185.8</v>
      </c>
      <c r="S7" s="17">
        <v>1</v>
      </c>
      <c r="T7" s="19">
        <f t="shared" ref="T7" si="5">R7*S7</f>
        <v>185.8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190</v>
      </c>
      <c r="D8" s="19" t="s">
        <v>124</v>
      </c>
      <c r="E8" s="17">
        <v>21.3</v>
      </c>
      <c r="F8" s="17">
        <f t="shared" ref="F8:F13" si="6">E7</f>
        <v>8.6</v>
      </c>
      <c r="G8" s="19">
        <f t="shared" si="0"/>
        <v>12.700000000000001</v>
      </c>
      <c r="H8" s="17">
        <f t="shared" ref="H8:H16" si="7">H7</f>
        <v>1</v>
      </c>
      <c r="I8" s="19">
        <f t="shared" si="1"/>
        <v>12.700000000000001</v>
      </c>
      <c r="J8" s="17">
        <v>411.9</v>
      </c>
      <c r="K8" s="17">
        <f t="shared" ref="K8:K13" si="8">J7</f>
        <v>176.7</v>
      </c>
      <c r="L8" s="19">
        <f t="shared" ref="L8" si="9">J8-K8</f>
        <v>235.2</v>
      </c>
      <c r="M8" s="17">
        <f t="shared" ref="M8:M16" si="10">M7</f>
        <v>1</v>
      </c>
      <c r="N8" s="19">
        <f t="shared" ref="N8" si="11">L8*M8</f>
        <v>235.2</v>
      </c>
      <c r="O8" s="17">
        <f>N8-I8</f>
        <v>222.5</v>
      </c>
      <c r="P8" s="17">
        <v>439.2</v>
      </c>
      <c r="Q8" s="17">
        <f t="shared" ref="Q8:Q13" si="12">P7</f>
        <v>185.8</v>
      </c>
      <c r="R8" s="19">
        <f t="shared" ref="R8" si="13">P8-Q8</f>
        <v>253.39999999999998</v>
      </c>
      <c r="S8" s="17">
        <f t="shared" ref="S8:S16" si="14">S7</f>
        <v>1</v>
      </c>
      <c r="T8" s="19">
        <f t="shared" ref="T8" si="15">R8*S8</f>
        <v>253.39999999999998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190</v>
      </c>
      <c r="D9" s="19" t="s">
        <v>124</v>
      </c>
      <c r="E9" s="17">
        <v>35</v>
      </c>
      <c r="F9" s="17">
        <f t="shared" si="6"/>
        <v>21.3</v>
      </c>
      <c r="G9" s="19">
        <f t="shared" ref="G9" si="16">E9-F9</f>
        <v>13.7</v>
      </c>
      <c r="H9" s="17">
        <f t="shared" si="7"/>
        <v>1</v>
      </c>
      <c r="I9" s="19">
        <f t="shared" ref="I9" si="17">G9*H9</f>
        <v>13.7</v>
      </c>
      <c r="J9" s="17">
        <v>611</v>
      </c>
      <c r="K9" s="17">
        <f t="shared" si="8"/>
        <v>411.9</v>
      </c>
      <c r="L9" s="19">
        <f t="shared" ref="L9" si="18">J9-K9</f>
        <v>199.10000000000002</v>
      </c>
      <c r="M9" s="17">
        <f t="shared" si="10"/>
        <v>1</v>
      </c>
      <c r="N9" s="19">
        <f t="shared" ref="N9" si="19">L9*M9</f>
        <v>199.10000000000002</v>
      </c>
      <c r="O9" s="12">
        <f t="shared" ref="O9:O16" si="20">SUM(O7)</f>
        <v>168.1</v>
      </c>
      <c r="P9" s="17">
        <v>646.29999999999995</v>
      </c>
      <c r="Q9" s="17">
        <f t="shared" si="12"/>
        <v>439.2</v>
      </c>
      <c r="R9" s="19">
        <f t="shared" ref="R9" si="21">P9-Q9</f>
        <v>207.09999999999997</v>
      </c>
      <c r="S9" s="17">
        <f t="shared" si="14"/>
        <v>1</v>
      </c>
      <c r="T9" s="19">
        <f t="shared" ref="T9" si="22">R9*S9</f>
        <v>207.09999999999997</v>
      </c>
      <c r="U9" s="17">
        <v>0.12</v>
      </c>
      <c r="V9" s="17">
        <v>0.99</v>
      </c>
      <c r="W9" s="25"/>
    </row>
    <row r="10" spans="1:23" ht="15.75" x14ac:dyDescent="0.25">
      <c r="A10" s="12">
        <v>4</v>
      </c>
      <c r="B10" s="22" t="s">
        <v>244</v>
      </c>
      <c r="C10" s="19" t="s">
        <v>190</v>
      </c>
      <c r="D10" s="19" t="s">
        <v>124</v>
      </c>
      <c r="E10" s="17">
        <v>48</v>
      </c>
      <c r="F10" s="17">
        <f t="shared" si="6"/>
        <v>35</v>
      </c>
      <c r="G10" s="19">
        <f t="shared" ref="G10" si="23">E10-F10</f>
        <v>13</v>
      </c>
      <c r="H10" s="17">
        <f t="shared" si="7"/>
        <v>1</v>
      </c>
      <c r="I10" s="19">
        <f t="shared" ref="I10" si="24">G10*H10</f>
        <v>13</v>
      </c>
      <c r="J10" s="17">
        <v>867</v>
      </c>
      <c r="K10" s="17">
        <f t="shared" si="8"/>
        <v>611</v>
      </c>
      <c r="L10" s="19">
        <f t="shared" ref="L10" si="25">J10-K10</f>
        <v>256</v>
      </c>
      <c r="M10" s="17">
        <f t="shared" si="10"/>
        <v>1</v>
      </c>
      <c r="N10" s="19">
        <f t="shared" ref="N10" si="26">L10*M10</f>
        <v>256</v>
      </c>
      <c r="O10" s="12">
        <f t="shared" si="20"/>
        <v>222.5</v>
      </c>
      <c r="P10" s="17">
        <v>915</v>
      </c>
      <c r="Q10" s="17">
        <f t="shared" si="12"/>
        <v>646.29999999999995</v>
      </c>
      <c r="R10" s="19">
        <f t="shared" ref="R10" si="27">P10-Q10</f>
        <v>268.70000000000005</v>
      </c>
      <c r="S10" s="17">
        <f t="shared" si="14"/>
        <v>1</v>
      </c>
      <c r="T10" s="19">
        <f t="shared" ref="T10" si="28">R10*S10</f>
        <v>268.70000000000005</v>
      </c>
      <c r="U10" s="17">
        <v>0.14000000000000001</v>
      </c>
      <c r="V10" s="17">
        <v>0.99</v>
      </c>
      <c r="W10" s="25"/>
    </row>
    <row r="11" spans="1:23" ht="15.75" x14ac:dyDescent="0.25">
      <c r="A11" s="12">
        <v>5</v>
      </c>
      <c r="B11" s="22" t="s">
        <v>245</v>
      </c>
      <c r="C11" s="19" t="s">
        <v>190</v>
      </c>
      <c r="D11" s="19" t="s">
        <v>124</v>
      </c>
      <c r="E11" s="17">
        <v>64.8</v>
      </c>
      <c r="F11" s="17">
        <f t="shared" si="6"/>
        <v>48</v>
      </c>
      <c r="G11" s="19">
        <f t="shared" ref="G11" si="29">E11-F11</f>
        <v>16.799999999999997</v>
      </c>
      <c r="H11" s="17">
        <f t="shared" si="7"/>
        <v>1</v>
      </c>
      <c r="I11" s="19">
        <f t="shared" ref="I11" si="30">G11*H11</f>
        <v>16.799999999999997</v>
      </c>
      <c r="J11" s="17">
        <v>1093</v>
      </c>
      <c r="K11" s="17">
        <f t="shared" si="8"/>
        <v>867</v>
      </c>
      <c r="L11" s="19">
        <f t="shared" ref="L11" si="31">J11-K11</f>
        <v>226</v>
      </c>
      <c r="M11" s="17">
        <f t="shared" si="10"/>
        <v>1</v>
      </c>
      <c r="N11" s="19">
        <f t="shared" ref="N11" si="32">L11*M11</f>
        <v>226</v>
      </c>
      <c r="O11" s="12">
        <f t="shared" si="20"/>
        <v>168.1</v>
      </c>
      <c r="P11" s="17">
        <v>1154</v>
      </c>
      <c r="Q11" s="17">
        <f t="shared" si="12"/>
        <v>915</v>
      </c>
      <c r="R11" s="19">
        <f t="shared" ref="R11" si="33">P11-Q11</f>
        <v>239</v>
      </c>
      <c r="S11" s="17">
        <f t="shared" si="14"/>
        <v>1</v>
      </c>
      <c r="T11" s="19">
        <f t="shared" ref="T11" si="34">R11*S11</f>
        <v>239</v>
      </c>
      <c r="U11" s="17">
        <v>0.21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190</v>
      </c>
      <c r="D12" s="19" t="s">
        <v>124</v>
      </c>
      <c r="E12" s="12">
        <v>72.3</v>
      </c>
      <c r="F12" s="17">
        <f t="shared" si="6"/>
        <v>64.8</v>
      </c>
      <c r="G12" s="19">
        <f t="shared" ref="G12" si="35">E12-F12</f>
        <v>7.5</v>
      </c>
      <c r="H12" s="17">
        <f t="shared" si="7"/>
        <v>1</v>
      </c>
      <c r="I12" s="19">
        <f t="shared" ref="I12" si="36">G12*H12</f>
        <v>7.5</v>
      </c>
      <c r="J12" s="12">
        <v>1275.9000000000001</v>
      </c>
      <c r="K12" s="17">
        <f t="shared" si="8"/>
        <v>1093</v>
      </c>
      <c r="L12" s="19">
        <f t="shared" ref="L12" si="37">J12-K12</f>
        <v>182.90000000000009</v>
      </c>
      <c r="M12" s="17">
        <f t="shared" si="10"/>
        <v>1</v>
      </c>
      <c r="N12" s="19">
        <f t="shared" ref="N12" si="38">L12*M12</f>
        <v>182.90000000000009</v>
      </c>
      <c r="O12" s="12">
        <f t="shared" si="20"/>
        <v>222.5</v>
      </c>
      <c r="P12" s="17">
        <v>1345.3</v>
      </c>
      <c r="Q12" s="17">
        <f t="shared" si="12"/>
        <v>1154</v>
      </c>
      <c r="R12" s="19">
        <f t="shared" ref="R12" si="39">P12-Q12</f>
        <v>191.29999999999995</v>
      </c>
      <c r="S12" s="17">
        <f t="shared" si="14"/>
        <v>1</v>
      </c>
      <c r="T12" s="19">
        <f t="shared" ref="T12" si="40">R12*S12</f>
        <v>191.29999999999995</v>
      </c>
      <c r="U12" s="19"/>
      <c r="V12" s="19"/>
      <c r="W12" s="25"/>
    </row>
    <row r="13" spans="1:23" ht="15.75" x14ac:dyDescent="0.25">
      <c r="A13" s="12">
        <v>7</v>
      </c>
      <c r="B13" s="22" t="s">
        <v>252</v>
      </c>
      <c r="C13" s="19" t="s">
        <v>190</v>
      </c>
      <c r="D13" s="19" t="s">
        <v>124</v>
      </c>
      <c r="E13" s="12">
        <v>73.2</v>
      </c>
      <c r="F13" s="17">
        <f t="shared" si="6"/>
        <v>72.3</v>
      </c>
      <c r="G13" s="19">
        <f t="shared" ref="G13" si="41">E13-F13</f>
        <v>0.90000000000000568</v>
      </c>
      <c r="H13" s="17">
        <f t="shared" si="7"/>
        <v>1</v>
      </c>
      <c r="I13" s="19">
        <f t="shared" ref="I13" si="42">G13*H13</f>
        <v>0.90000000000000568</v>
      </c>
      <c r="J13" s="12">
        <v>1275.9000000000001</v>
      </c>
      <c r="K13" s="17">
        <f t="shared" si="8"/>
        <v>1275.9000000000001</v>
      </c>
      <c r="L13" s="19">
        <f t="shared" ref="L13" si="43">J13-K13</f>
        <v>0</v>
      </c>
      <c r="M13" s="17">
        <f t="shared" si="10"/>
        <v>1</v>
      </c>
      <c r="N13" s="19">
        <f t="shared" ref="N13" si="44">L13*M13</f>
        <v>0</v>
      </c>
      <c r="O13" s="12">
        <f t="shared" si="20"/>
        <v>168.1</v>
      </c>
      <c r="P13" s="17">
        <v>1345.3</v>
      </c>
      <c r="Q13" s="17">
        <f t="shared" si="12"/>
        <v>1345.3</v>
      </c>
      <c r="R13" s="19">
        <f t="shared" ref="R13" si="45">P13-Q13</f>
        <v>0</v>
      </c>
      <c r="S13" s="17">
        <f t="shared" si="14"/>
        <v>1</v>
      </c>
      <c r="T13" s="19">
        <f t="shared" ref="T13" si="46">R13*S13</f>
        <v>0</v>
      </c>
      <c r="U13" s="19"/>
      <c r="V13" s="19"/>
      <c r="W13" s="25"/>
    </row>
    <row r="14" spans="1:23" ht="15.75" x14ac:dyDescent="0.25">
      <c r="A14" s="12">
        <v>8</v>
      </c>
      <c r="B14" s="22" t="s">
        <v>253</v>
      </c>
      <c r="C14" s="19" t="s">
        <v>190</v>
      </c>
      <c r="D14" s="19" t="s">
        <v>124</v>
      </c>
      <c r="E14" s="12">
        <v>76.7</v>
      </c>
      <c r="F14" s="17">
        <f t="shared" ref="F14" si="47">E13</f>
        <v>73.2</v>
      </c>
      <c r="G14" s="19">
        <f t="shared" ref="G14" si="48">E14-F14</f>
        <v>3.5</v>
      </c>
      <c r="H14" s="17">
        <f t="shared" si="7"/>
        <v>1</v>
      </c>
      <c r="I14" s="19">
        <f t="shared" ref="I14" si="49">G14*H14</f>
        <v>3.5</v>
      </c>
      <c r="J14" s="12">
        <v>1403.9</v>
      </c>
      <c r="K14" s="17">
        <f t="shared" ref="K14" si="50">J13</f>
        <v>1275.9000000000001</v>
      </c>
      <c r="L14" s="19">
        <f t="shared" ref="L14" si="51">J14-K14</f>
        <v>128</v>
      </c>
      <c r="M14" s="17">
        <f t="shared" si="10"/>
        <v>1</v>
      </c>
      <c r="N14" s="19">
        <f t="shared" ref="N14" si="52">L14*M14</f>
        <v>128</v>
      </c>
      <c r="O14" s="12">
        <f t="shared" si="20"/>
        <v>222.5</v>
      </c>
      <c r="P14" s="12">
        <v>1477.8</v>
      </c>
      <c r="Q14" s="17">
        <f t="shared" ref="Q14" si="53">P13</f>
        <v>1345.3</v>
      </c>
      <c r="R14" s="19">
        <f t="shared" ref="R14" si="54">P14-Q14</f>
        <v>132.5</v>
      </c>
      <c r="S14" s="17">
        <f t="shared" si="14"/>
        <v>1</v>
      </c>
      <c r="T14" s="19">
        <f t="shared" ref="T14" si="55">R14*S14</f>
        <v>132.5</v>
      </c>
      <c r="U14" s="19">
        <v>1.74</v>
      </c>
      <c r="V14" s="19">
        <v>0.93</v>
      </c>
      <c r="W14" s="25"/>
    </row>
    <row r="15" spans="1:23" ht="15.75" x14ac:dyDescent="0.25">
      <c r="A15" s="12">
        <v>9</v>
      </c>
      <c r="B15" s="22" t="s">
        <v>254</v>
      </c>
      <c r="C15" s="19" t="s">
        <v>190</v>
      </c>
      <c r="D15" s="19" t="s">
        <v>124</v>
      </c>
      <c r="E15" s="12">
        <v>78</v>
      </c>
      <c r="F15" s="17">
        <f t="shared" ref="F15" si="56">E14</f>
        <v>76.7</v>
      </c>
      <c r="G15" s="19">
        <f t="shared" ref="G15" si="57">E15-F15</f>
        <v>1.2999999999999972</v>
      </c>
      <c r="H15" s="17">
        <f t="shared" si="7"/>
        <v>1</v>
      </c>
      <c r="I15" s="19">
        <f t="shared" ref="I15" si="58">G15*H15</f>
        <v>1.2999999999999972</v>
      </c>
      <c r="J15" s="12">
        <v>1708.7</v>
      </c>
      <c r="K15" s="17">
        <f t="shared" ref="K15" si="59">J14</f>
        <v>1403.9</v>
      </c>
      <c r="L15" s="19">
        <f t="shared" ref="L15" si="60">J15-K15</f>
        <v>304.79999999999995</v>
      </c>
      <c r="M15" s="17">
        <f t="shared" si="10"/>
        <v>1</v>
      </c>
      <c r="N15" s="19">
        <f t="shared" ref="N15" si="61">L15*M15</f>
        <v>304.79999999999995</v>
      </c>
      <c r="O15" s="12">
        <f t="shared" si="20"/>
        <v>168.1</v>
      </c>
      <c r="P15" s="12">
        <v>1795</v>
      </c>
      <c r="Q15" s="17">
        <f t="shared" ref="Q15" si="62">P14</f>
        <v>1477.8</v>
      </c>
      <c r="R15" s="19">
        <f t="shared" ref="R15" si="63">P15-Q15</f>
        <v>317.20000000000005</v>
      </c>
      <c r="S15" s="17">
        <f t="shared" si="14"/>
        <v>1</v>
      </c>
      <c r="T15" s="19">
        <f t="shared" ref="T15" si="64">R15*S15</f>
        <v>317.20000000000005</v>
      </c>
      <c r="U15" s="19">
        <v>1.47</v>
      </c>
      <c r="V15" s="19">
        <v>0.95</v>
      </c>
      <c r="W15" s="25"/>
    </row>
    <row r="16" spans="1:23" ht="15.75" x14ac:dyDescent="0.25">
      <c r="A16" s="12">
        <v>10</v>
      </c>
      <c r="B16" s="22" t="s">
        <v>258</v>
      </c>
      <c r="C16" s="19" t="s">
        <v>190</v>
      </c>
      <c r="D16" s="19" t="s">
        <v>124</v>
      </c>
      <c r="E16" s="12">
        <f>E15+1.2</f>
        <v>79.2</v>
      </c>
      <c r="F16" s="17">
        <f t="shared" ref="F16" si="65">E15</f>
        <v>78</v>
      </c>
      <c r="G16" s="19">
        <f t="shared" ref="G16" si="66">E16-F16</f>
        <v>1.2000000000000028</v>
      </c>
      <c r="H16" s="17">
        <f t="shared" si="7"/>
        <v>1</v>
      </c>
      <c r="I16" s="19">
        <f t="shared" ref="I16" si="67">G16*H16</f>
        <v>1.2000000000000028</v>
      </c>
      <c r="J16" s="12">
        <f>J15+345</f>
        <v>2053.6999999999998</v>
      </c>
      <c r="K16" s="17">
        <f t="shared" ref="K16" si="68">J15</f>
        <v>1708.7</v>
      </c>
      <c r="L16" s="19">
        <f t="shared" ref="L16" si="69">J16-K16</f>
        <v>344.99999999999977</v>
      </c>
      <c r="M16" s="17">
        <f t="shared" si="10"/>
        <v>1</v>
      </c>
      <c r="N16" s="19">
        <f t="shared" ref="N16" si="70">L16*M16</f>
        <v>344.99999999999977</v>
      </c>
      <c r="O16" s="12">
        <f t="shared" si="20"/>
        <v>222.5</v>
      </c>
      <c r="P16" s="12">
        <f>P15+340</f>
        <v>2135</v>
      </c>
      <c r="Q16" s="17">
        <f t="shared" ref="Q16" si="71">P15</f>
        <v>1795</v>
      </c>
      <c r="R16" s="19">
        <f t="shared" ref="R16" si="72">P16-Q16</f>
        <v>340</v>
      </c>
      <c r="S16" s="17">
        <f t="shared" si="14"/>
        <v>1</v>
      </c>
      <c r="T16" s="19">
        <f t="shared" ref="T16" si="73">R16*S16</f>
        <v>340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17" t="s">
        <v>121</v>
      </c>
      <c r="I17" s="12">
        <f>SUM(I7:I16)</f>
        <v>79.2</v>
      </c>
      <c r="J17" s="12"/>
      <c r="K17" s="17"/>
      <c r="L17" s="12"/>
      <c r="M17" s="17"/>
      <c r="N17" s="12">
        <f t="shared" ref="N17:O17" si="74">SUM(N7:N16)</f>
        <v>2053.6999999999998</v>
      </c>
      <c r="O17" s="12">
        <f t="shared" si="74"/>
        <v>1953</v>
      </c>
      <c r="P17" s="12"/>
      <c r="Q17" s="17"/>
      <c r="R17" s="12"/>
      <c r="S17" s="17"/>
      <c r="T17" s="12">
        <f>SUM(T7:T16)</f>
        <v>2135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190</v>
      </c>
      <c r="D18" s="19" t="s">
        <v>124</v>
      </c>
      <c r="E18" s="12">
        <f>E16+1</f>
        <v>80.2</v>
      </c>
      <c r="F18" s="17">
        <f>E16</f>
        <v>79.2</v>
      </c>
      <c r="G18" s="19">
        <f t="shared" ref="G18" si="75">E18-F18</f>
        <v>1</v>
      </c>
      <c r="H18" s="91">
        <v>1</v>
      </c>
      <c r="I18" s="19">
        <f t="shared" ref="I18" si="76">G18*H18</f>
        <v>1</v>
      </c>
      <c r="J18" s="12">
        <f>J16+350</f>
        <v>2403.6999999999998</v>
      </c>
      <c r="K18" s="17">
        <f>J16</f>
        <v>2053.6999999999998</v>
      </c>
      <c r="L18" s="19">
        <f t="shared" ref="L18" si="77">J18-K18</f>
        <v>350</v>
      </c>
      <c r="M18" s="17">
        <f>M16</f>
        <v>1</v>
      </c>
      <c r="N18" s="19">
        <f t="shared" ref="N18" si="78">L18*M18</f>
        <v>350</v>
      </c>
      <c r="O18" s="17">
        <f t="shared" ref="O18" si="79">N18-I18</f>
        <v>349</v>
      </c>
      <c r="P18" s="12">
        <f>P16+345</f>
        <v>2480</v>
      </c>
      <c r="Q18" s="17">
        <f>P16</f>
        <v>2135</v>
      </c>
      <c r="R18" s="19">
        <f t="shared" ref="R18" si="80">P18-Q18</f>
        <v>345</v>
      </c>
      <c r="S18" s="17">
        <f>S16</f>
        <v>1</v>
      </c>
      <c r="T18" s="19">
        <f t="shared" ref="T18" si="81">R18*S18</f>
        <v>345</v>
      </c>
      <c r="U18" s="12"/>
      <c r="V18" s="12"/>
      <c r="W18" s="25"/>
    </row>
    <row r="19" spans="1:23" ht="15.75" x14ac:dyDescent="0.25">
      <c r="A19" s="12">
        <v>12</v>
      </c>
      <c r="B19" s="22" t="s">
        <v>263</v>
      </c>
      <c r="C19" s="19" t="s">
        <v>190</v>
      </c>
      <c r="D19" s="19" t="s">
        <v>124</v>
      </c>
      <c r="E19" s="12">
        <f>E18+1.3</f>
        <v>81.5</v>
      </c>
      <c r="F19" s="17">
        <f t="shared" ref="F19:F24" si="82">E18</f>
        <v>80.2</v>
      </c>
      <c r="G19" s="19">
        <f t="shared" ref="G19" si="83">E19-F19</f>
        <v>1.2999999999999972</v>
      </c>
      <c r="H19" s="91">
        <v>1</v>
      </c>
      <c r="I19" s="19">
        <f t="shared" ref="I19" si="84">G19*H19</f>
        <v>1.2999999999999972</v>
      </c>
      <c r="J19" s="12">
        <f>J18+350</f>
        <v>2753.7</v>
      </c>
      <c r="K19" s="17">
        <f t="shared" ref="K19:K24" si="85">J18</f>
        <v>2403.6999999999998</v>
      </c>
      <c r="L19" s="19">
        <f t="shared" ref="L19" si="86">J19-K19</f>
        <v>350</v>
      </c>
      <c r="M19" s="17">
        <f t="shared" ref="M19:M59" si="87">M18</f>
        <v>1</v>
      </c>
      <c r="N19" s="19">
        <f t="shared" ref="N19" si="88">L19*M19</f>
        <v>350</v>
      </c>
      <c r="O19" s="17">
        <f t="shared" ref="O19" si="89">N19-I19</f>
        <v>348.7</v>
      </c>
      <c r="P19" s="12">
        <v>2819</v>
      </c>
      <c r="Q19" s="17">
        <f t="shared" ref="Q19:Q24" si="90">P18</f>
        <v>2480</v>
      </c>
      <c r="R19" s="19">
        <f t="shared" ref="R19" si="91">P19-Q19</f>
        <v>339</v>
      </c>
      <c r="S19" s="17">
        <f>S18</f>
        <v>1</v>
      </c>
      <c r="T19" s="19">
        <f t="shared" ref="T19" si="92">R19*S19</f>
        <v>339</v>
      </c>
      <c r="U19" s="19"/>
      <c r="V19" s="19"/>
      <c r="W19" s="25"/>
    </row>
    <row r="20" spans="1:23" ht="15.75" x14ac:dyDescent="0.25">
      <c r="A20" s="12">
        <v>13</v>
      </c>
      <c r="B20" s="22" t="s">
        <v>265</v>
      </c>
      <c r="C20" s="19" t="s">
        <v>190</v>
      </c>
      <c r="D20" s="19" t="s">
        <v>124</v>
      </c>
      <c r="E20" s="12">
        <v>83.6</v>
      </c>
      <c r="F20" s="17">
        <f t="shared" si="82"/>
        <v>81.5</v>
      </c>
      <c r="G20" s="19">
        <f t="shared" ref="G20" si="93">E20-F20</f>
        <v>2.0999999999999943</v>
      </c>
      <c r="H20" s="91">
        <v>1</v>
      </c>
      <c r="I20" s="19">
        <f t="shared" ref="I20" si="94">G20*H20</f>
        <v>2.0999999999999943</v>
      </c>
      <c r="J20" s="12">
        <v>3110.8</v>
      </c>
      <c r="K20" s="17">
        <f t="shared" si="85"/>
        <v>2753.7</v>
      </c>
      <c r="L20" s="19">
        <f t="shared" ref="L20" si="95">J20-K20</f>
        <v>357.10000000000036</v>
      </c>
      <c r="M20" s="17">
        <f t="shared" si="87"/>
        <v>1</v>
      </c>
      <c r="N20" s="19">
        <f t="shared" ref="N20" si="96">L20*M20</f>
        <v>357.10000000000036</v>
      </c>
      <c r="O20" s="17">
        <f t="shared" ref="O20" si="97">N20-I20</f>
        <v>355.00000000000034</v>
      </c>
      <c r="P20" s="12">
        <v>3176.9</v>
      </c>
      <c r="Q20" s="17">
        <f t="shared" si="90"/>
        <v>2819</v>
      </c>
      <c r="R20" s="19">
        <f t="shared" ref="R20" si="98">P20-Q20</f>
        <v>357.90000000000009</v>
      </c>
      <c r="S20" s="17">
        <f t="shared" ref="S20:S59" si="99">S18</f>
        <v>1</v>
      </c>
      <c r="T20" s="19">
        <f t="shared" ref="T20" si="100">R20*S20</f>
        <v>357.90000000000009</v>
      </c>
      <c r="U20" s="19">
        <v>0.1</v>
      </c>
      <c r="V20" s="19">
        <v>0.97</v>
      </c>
      <c r="W20" s="25"/>
    </row>
    <row r="21" spans="1:23" ht="15.75" x14ac:dyDescent="0.25">
      <c r="A21" s="12">
        <v>14</v>
      </c>
      <c r="B21" s="22" t="s">
        <v>266</v>
      </c>
      <c r="C21" s="19" t="s">
        <v>190</v>
      </c>
      <c r="D21" s="19" t="s">
        <v>124</v>
      </c>
      <c r="E21" s="12">
        <v>85</v>
      </c>
      <c r="F21" s="17">
        <f t="shared" si="82"/>
        <v>83.6</v>
      </c>
      <c r="G21" s="19">
        <f t="shared" ref="G21" si="101">E21-F21</f>
        <v>1.4000000000000057</v>
      </c>
      <c r="H21" s="91">
        <v>1</v>
      </c>
      <c r="I21" s="19">
        <f t="shared" ref="I21" si="102">G21*H21</f>
        <v>1.4000000000000057</v>
      </c>
      <c r="J21" s="12">
        <v>3395.8</v>
      </c>
      <c r="K21" s="17">
        <f t="shared" si="85"/>
        <v>3110.8</v>
      </c>
      <c r="L21" s="19">
        <f t="shared" ref="L21" si="103">J21-K21</f>
        <v>285</v>
      </c>
      <c r="M21" s="17">
        <f t="shared" si="87"/>
        <v>1</v>
      </c>
      <c r="N21" s="19">
        <f t="shared" ref="N21" si="104">L21*M21</f>
        <v>285</v>
      </c>
      <c r="O21" s="17">
        <f t="shared" ref="O21" si="105">N21-I21</f>
        <v>283.60000000000002</v>
      </c>
      <c r="P21" s="12">
        <v>3462.9</v>
      </c>
      <c r="Q21" s="17">
        <f t="shared" si="90"/>
        <v>3176.9</v>
      </c>
      <c r="R21" s="19">
        <f t="shared" ref="R21" si="106">P21-Q21</f>
        <v>286</v>
      </c>
      <c r="S21" s="17">
        <f t="shared" si="99"/>
        <v>1</v>
      </c>
      <c r="T21" s="19">
        <f t="shared" ref="T21" si="107">R21*S21</f>
        <v>286</v>
      </c>
      <c r="U21" s="19"/>
      <c r="V21" s="19"/>
      <c r="W21" s="25"/>
    </row>
    <row r="22" spans="1:23" ht="15.75" x14ac:dyDescent="0.25">
      <c r="A22" s="12">
        <v>15</v>
      </c>
      <c r="B22" s="22" t="s">
        <v>267</v>
      </c>
      <c r="C22" s="19" t="s">
        <v>190</v>
      </c>
      <c r="D22" s="19" t="s">
        <v>124</v>
      </c>
      <c r="E22" s="12">
        <v>87.5</v>
      </c>
      <c r="F22" s="17">
        <f t="shared" si="82"/>
        <v>85</v>
      </c>
      <c r="G22" s="19">
        <f t="shared" ref="G22" si="108">E22-F22</f>
        <v>2.5</v>
      </c>
      <c r="H22" s="91">
        <v>1</v>
      </c>
      <c r="I22" s="19">
        <f t="shared" ref="I22" si="109">G22*H22</f>
        <v>2.5</v>
      </c>
      <c r="J22" s="12">
        <v>3648.9</v>
      </c>
      <c r="K22" s="17">
        <f t="shared" si="85"/>
        <v>3395.8</v>
      </c>
      <c r="L22" s="19">
        <f t="shared" ref="L22" si="110">J22-K22</f>
        <v>253.09999999999991</v>
      </c>
      <c r="M22" s="17">
        <f t="shared" si="87"/>
        <v>1</v>
      </c>
      <c r="N22" s="19">
        <f t="shared" ref="N22" si="111">L22*M22</f>
        <v>253.09999999999991</v>
      </c>
      <c r="O22" s="17">
        <f t="shared" ref="O22" si="112">N22-I22</f>
        <v>250.59999999999991</v>
      </c>
      <c r="P22" s="12">
        <v>3741</v>
      </c>
      <c r="Q22" s="17">
        <f t="shared" si="90"/>
        <v>3462.9</v>
      </c>
      <c r="R22" s="19">
        <f t="shared" ref="R22" si="113">P22-Q22</f>
        <v>278.09999999999991</v>
      </c>
      <c r="S22" s="17">
        <f t="shared" si="99"/>
        <v>1</v>
      </c>
      <c r="T22" s="19">
        <f t="shared" ref="T22" si="114">R22*S22</f>
        <v>278.09999999999991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190</v>
      </c>
      <c r="D23" s="19" t="s">
        <v>124</v>
      </c>
      <c r="E23" s="12">
        <v>89.9</v>
      </c>
      <c r="F23" s="17">
        <f t="shared" si="82"/>
        <v>87.5</v>
      </c>
      <c r="G23" s="19">
        <f t="shared" ref="G23" si="115">E23-F23</f>
        <v>2.4000000000000057</v>
      </c>
      <c r="H23" s="91">
        <v>1</v>
      </c>
      <c r="I23" s="19">
        <f t="shared" ref="I23" si="116">G23*H23</f>
        <v>2.4000000000000057</v>
      </c>
      <c r="J23" s="12">
        <v>3940.9</v>
      </c>
      <c r="K23" s="17">
        <f t="shared" si="85"/>
        <v>3648.9</v>
      </c>
      <c r="L23" s="19">
        <f t="shared" ref="L23" si="117">J23-K23</f>
        <v>292</v>
      </c>
      <c r="M23" s="17">
        <f t="shared" si="87"/>
        <v>1</v>
      </c>
      <c r="N23" s="19">
        <f t="shared" ref="N23" si="118">L23*M23</f>
        <v>292</v>
      </c>
      <c r="O23" s="17">
        <f t="shared" ref="O23" si="119">N23-I23</f>
        <v>289.60000000000002</v>
      </c>
      <c r="P23" s="12">
        <v>4029.4</v>
      </c>
      <c r="Q23" s="17">
        <f t="shared" si="90"/>
        <v>3741</v>
      </c>
      <c r="R23" s="19">
        <f t="shared" ref="R23" si="120">P23-Q23</f>
        <v>288.40000000000009</v>
      </c>
      <c r="S23" s="17">
        <f t="shared" si="99"/>
        <v>1</v>
      </c>
      <c r="T23" s="19">
        <f t="shared" ref="T23" si="121">R23*S23</f>
        <v>288.40000000000009</v>
      </c>
      <c r="U23" s="19">
        <v>0.14000000000000001</v>
      </c>
      <c r="V23" s="19">
        <v>0.98</v>
      </c>
      <c r="W23" s="25"/>
    </row>
    <row r="24" spans="1:23" ht="15.75" x14ac:dyDescent="0.25">
      <c r="A24" s="12">
        <v>17</v>
      </c>
      <c r="B24" s="22" t="s">
        <v>272</v>
      </c>
      <c r="C24" s="19" t="s">
        <v>190</v>
      </c>
      <c r="D24" s="19" t="s">
        <v>124</v>
      </c>
      <c r="E24" s="12">
        <v>92</v>
      </c>
      <c r="F24" s="17">
        <f t="shared" si="82"/>
        <v>89.9</v>
      </c>
      <c r="G24" s="19">
        <f t="shared" ref="G24" si="122">E24-F24</f>
        <v>2.0999999999999943</v>
      </c>
      <c r="H24" s="91">
        <v>1</v>
      </c>
      <c r="I24" s="19">
        <f t="shared" ref="I24" si="123">G24*H24</f>
        <v>2.0999999999999943</v>
      </c>
      <c r="J24" s="12">
        <v>4204.8999999999996</v>
      </c>
      <c r="K24" s="17">
        <f t="shared" si="85"/>
        <v>3940.9</v>
      </c>
      <c r="L24" s="19">
        <f t="shared" ref="L24" si="124">J24-K24</f>
        <v>263.99999999999955</v>
      </c>
      <c r="M24" s="17">
        <f t="shared" si="87"/>
        <v>1</v>
      </c>
      <c r="N24" s="19">
        <f t="shared" ref="N24" si="125">L24*M24</f>
        <v>263.99999999999955</v>
      </c>
      <c r="O24" s="17">
        <f t="shared" ref="O24" si="126">N24-I24</f>
        <v>261.89999999999952</v>
      </c>
      <c r="P24" s="12">
        <v>4303.3999999999996</v>
      </c>
      <c r="Q24" s="17">
        <f t="shared" si="90"/>
        <v>4029.4</v>
      </c>
      <c r="R24" s="19">
        <f t="shared" ref="R24" si="127">P24-Q24</f>
        <v>273.99999999999955</v>
      </c>
      <c r="S24" s="17">
        <f t="shared" si="99"/>
        <v>1</v>
      </c>
      <c r="T24" s="19">
        <f t="shared" ref="T24" si="128">R24*S24</f>
        <v>273.99999999999955</v>
      </c>
      <c r="U24" s="19"/>
      <c r="V24" s="19"/>
      <c r="W24" s="25"/>
    </row>
    <row r="25" spans="1:23" ht="15.75" x14ac:dyDescent="0.25">
      <c r="A25" s="12">
        <v>18</v>
      </c>
      <c r="B25" s="22" t="s">
        <v>274</v>
      </c>
      <c r="C25" s="19" t="s">
        <v>190</v>
      </c>
      <c r="D25" s="19" t="s">
        <v>124</v>
      </c>
      <c r="E25" s="12">
        <v>93.3</v>
      </c>
      <c r="F25" s="17">
        <f t="shared" ref="F25" si="129">E24</f>
        <v>92</v>
      </c>
      <c r="G25" s="19">
        <f t="shared" ref="G25" si="130">E25-F25</f>
        <v>1.2999999999999972</v>
      </c>
      <c r="H25" s="91">
        <v>1</v>
      </c>
      <c r="I25" s="19">
        <f t="shared" ref="I25" si="131">G25*H25</f>
        <v>1.2999999999999972</v>
      </c>
      <c r="J25" s="12">
        <v>4502.8</v>
      </c>
      <c r="K25" s="17">
        <f t="shared" ref="K25" si="132">J24</f>
        <v>4204.8999999999996</v>
      </c>
      <c r="L25" s="19">
        <f t="shared" ref="L25" si="133">J25-K25</f>
        <v>297.90000000000055</v>
      </c>
      <c r="M25" s="17">
        <f t="shared" si="87"/>
        <v>1</v>
      </c>
      <c r="N25" s="19">
        <f t="shared" ref="N25" si="134">L25*M25</f>
        <v>297.90000000000055</v>
      </c>
      <c r="O25" s="17">
        <f t="shared" ref="O25" si="135">N25-I25</f>
        <v>296.60000000000053</v>
      </c>
      <c r="P25" s="12">
        <v>4604.3999999999996</v>
      </c>
      <c r="Q25" s="17">
        <f t="shared" ref="Q25" si="136">P24</f>
        <v>4303.3999999999996</v>
      </c>
      <c r="R25" s="19">
        <f t="shared" ref="R25" si="137">P25-Q25</f>
        <v>301</v>
      </c>
      <c r="S25" s="17">
        <f t="shared" si="99"/>
        <v>1</v>
      </c>
      <c r="T25" s="19">
        <f t="shared" ref="T25" si="138">R25*S25</f>
        <v>301</v>
      </c>
      <c r="U25" s="19">
        <v>0.74</v>
      </c>
      <c r="V25" s="19">
        <v>0.98</v>
      </c>
      <c r="W25" s="25"/>
    </row>
    <row r="26" spans="1:23" ht="15.75" x14ac:dyDescent="0.25">
      <c r="A26" s="12">
        <v>19</v>
      </c>
      <c r="B26" s="22" t="s">
        <v>276</v>
      </c>
      <c r="C26" s="19" t="s">
        <v>190</v>
      </c>
      <c r="D26" s="19" t="s">
        <v>124</v>
      </c>
      <c r="E26" s="12">
        <v>93.7</v>
      </c>
      <c r="F26" s="17">
        <f t="shared" ref="F26" si="139">E25</f>
        <v>93.3</v>
      </c>
      <c r="G26" s="19">
        <f t="shared" ref="G26" si="140">E26-F26</f>
        <v>0.40000000000000568</v>
      </c>
      <c r="H26" s="91">
        <v>1</v>
      </c>
      <c r="I26" s="19">
        <f t="shared" ref="I26" si="141">G26*H26</f>
        <v>0.40000000000000568</v>
      </c>
      <c r="J26" s="12">
        <v>4902.1000000000004</v>
      </c>
      <c r="K26" s="17">
        <f t="shared" ref="K26" si="142">J25</f>
        <v>4502.8</v>
      </c>
      <c r="L26" s="19">
        <f t="shared" ref="L26" si="143">J26-K26</f>
        <v>399.30000000000018</v>
      </c>
      <c r="M26" s="17">
        <f t="shared" si="87"/>
        <v>1</v>
      </c>
      <c r="N26" s="19">
        <f t="shared" ref="N26" si="144">L26*M26</f>
        <v>399.30000000000018</v>
      </c>
      <c r="O26" s="17">
        <f t="shared" ref="O26" si="145">N26-I26</f>
        <v>398.9000000000002</v>
      </c>
      <c r="P26" s="12">
        <v>5005</v>
      </c>
      <c r="Q26" s="17">
        <f t="shared" ref="Q26" si="146">P25</f>
        <v>4604.3999999999996</v>
      </c>
      <c r="R26" s="19">
        <f t="shared" ref="R26" si="147">P26-Q26</f>
        <v>400.60000000000036</v>
      </c>
      <c r="S26" s="17">
        <f t="shared" si="99"/>
        <v>1</v>
      </c>
      <c r="T26" s="19">
        <f t="shared" ref="T26" si="148">R26*S26</f>
        <v>400.60000000000036</v>
      </c>
      <c r="U26" s="19"/>
      <c r="V26" s="19">
        <v>0.97</v>
      </c>
      <c r="W26" s="25"/>
    </row>
    <row r="27" spans="1:23" ht="15.75" x14ac:dyDescent="0.25">
      <c r="A27" s="12">
        <v>20</v>
      </c>
      <c r="B27" s="22" t="s">
        <v>262</v>
      </c>
      <c r="C27" s="19" t="s">
        <v>190</v>
      </c>
      <c r="D27" s="19" t="s">
        <v>124</v>
      </c>
      <c r="E27" s="12">
        <v>94.8</v>
      </c>
      <c r="F27" s="17">
        <f t="shared" ref="F27" si="149">E26</f>
        <v>93.7</v>
      </c>
      <c r="G27" s="19">
        <f t="shared" ref="G27" si="150">E27-F27</f>
        <v>1.0999999999999943</v>
      </c>
      <c r="H27" s="91">
        <v>1</v>
      </c>
      <c r="I27" s="19">
        <f t="shared" ref="I27" si="151">G27*H27</f>
        <v>1.0999999999999943</v>
      </c>
      <c r="J27" s="12">
        <v>5230.8</v>
      </c>
      <c r="K27" s="17">
        <f t="shared" ref="K27" si="152">J26</f>
        <v>4902.1000000000004</v>
      </c>
      <c r="L27" s="19">
        <f t="shared" ref="L27" si="153">J27-K27</f>
        <v>328.69999999999982</v>
      </c>
      <c r="M27" s="17">
        <f t="shared" si="87"/>
        <v>1</v>
      </c>
      <c r="N27" s="19">
        <f t="shared" ref="N27" si="154">L27*M27</f>
        <v>328.69999999999982</v>
      </c>
      <c r="O27" s="17">
        <f t="shared" ref="O27" si="155">N27-I27</f>
        <v>327.5999999999998</v>
      </c>
      <c r="P27" s="12">
        <v>5316.1</v>
      </c>
      <c r="Q27" s="17">
        <f t="shared" ref="Q27" si="156">P26</f>
        <v>5005</v>
      </c>
      <c r="R27" s="19">
        <f t="shared" ref="R27" si="157">P27-Q27</f>
        <v>311.10000000000036</v>
      </c>
      <c r="S27" s="17">
        <f t="shared" si="99"/>
        <v>1</v>
      </c>
      <c r="T27" s="19">
        <f t="shared" ref="T27" si="158">R27*S27</f>
        <v>311.10000000000036</v>
      </c>
      <c r="U27" s="19">
        <v>0.14699999999999999</v>
      </c>
      <c r="V27" s="19">
        <v>0.98</v>
      </c>
      <c r="W27" s="25"/>
    </row>
    <row r="28" spans="1:23" ht="15.75" x14ac:dyDescent="0.25">
      <c r="A28" s="12">
        <v>21</v>
      </c>
      <c r="B28" s="22" t="s">
        <v>277</v>
      </c>
      <c r="C28" s="19" t="s">
        <v>190</v>
      </c>
      <c r="D28" s="19" t="s">
        <v>124</v>
      </c>
      <c r="E28" s="12">
        <v>95</v>
      </c>
      <c r="F28" s="17">
        <f t="shared" ref="F28" si="159">E27</f>
        <v>94.8</v>
      </c>
      <c r="G28" s="19">
        <f t="shared" ref="G28" si="160">E28-F28</f>
        <v>0.20000000000000284</v>
      </c>
      <c r="H28" s="91">
        <v>1</v>
      </c>
      <c r="I28" s="19">
        <f t="shared" ref="I28" si="161">G28*H28</f>
        <v>0.20000000000000284</v>
      </c>
      <c r="J28" s="12">
        <v>5565.8</v>
      </c>
      <c r="K28" s="17">
        <f t="shared" ref="K28" si="162">J27</f>
        <v>5230.8</v>
      </c>
      <c r="L28" s="19">
        <f t="shared" ref="L28" si="163">J28-K28</f>
        <v>335</v>
      </c>
      <c r="M28" s="17">
        <f t="shared" si="87"/>
        <v>1</v>
      </c>
      <c r="N28" s="19">
        <f t="shared" ref="N28" si="164">L28*M28</f>
        <v>335</v>
      </c>
      <c r="O28" s="17">
        <f t="shared" ref="O28" si="165">N28-I28</f>
        <v>334.8</v>
      </c>
      <c r="P28" s="12">
        <v>5662.9</v>
      </c>
      <c r="Q28" s="17">
        <f t="shared" ref="Q28" si="166">P27</f>
        <v>5316.1</v>
      </c>
      <c r="R28" s="19">
        <f t="shared" ref="R28" si="167">P28-Q28</f>
        <v>346.79999999999927</v>
      </c>
      <c r="S28" s="17">
        <f t="shared" si="99"/>
        <v>1</v>
      </c>
      <c r="T28" s="19">
        <f t="shared" ref="T28" si="168">R28*S28</f>
        <v>346.79999999999927</v>
      </c>
      <c r="U28" s="19">
        <v>0.01</v>
      </c>
      <c r="V28" s="19">
        <v>0.96</v>
      </c>
      <c r="W28" s="25"/>
    </row>
    <row r="29" spans="1:23" ht="15.75" x14ac:dyDescent="0.25">
      <c r="A29" s="12">
        <v>22</v>
      </c>
      <c r="B29" s="22" t="s">
        <v>278</v>
      </c>
      <c r="C29" s="19" t="s">
        <v>190</v>
      </c>
      <c r="D29" s="19" t="s">
        <v>124</v>
      </c>
      <c r="E29" s="12">
        <v>95.3</v>
      </c>
      <c r="F29" s="17">
        <f t="shared" ref="F29" si="169">E28</f>
        <v>95</v>
      </c>
      <c r="G29" s="19">
        <f t="shared" ref="G29" si="170">E29-F29</f>
        <v>0.29999999999999716</v>
      </c>
      <c r="H29" s="91">
        <v>1</v>
      </c>
      <c r="I29" s="19">
        <f t="shared" ref="I29" si="171">G29*H29</f>
        <v>0.29999999999999716</v>
      </c>
      <c r="J29" s="12">
        <v>5909.1</v>
      </c>
      <c r="K29" s="17">
        <f t="shared" ref="K29" si="172">J28</f>
        <v>5565.8</v>
      </c>
      <c r="L29" s="19">
        <f t="shared" ref="L29" si="173">J29-K29</f>
        <v>343.30000000000018</v>
      </c>
      <c r="M29" s="17">
        <f t="shared" si="87"/>
        <v>1</v>
      </c>
      <c r="N29" s="19">
        <f t="shared" ref="N29" si="174">L29*M29</f>
        <v>343.30000000000018</v>
      </c>
      <c r="O29" s="17">
        <f t="shared" ref="O29" si="175">N29-I29</f>
        <v>343.00000000000017</v>
      </c>
      <c r="P29" s="12">
        <v>6006.2</v>
      </c>
      <c r="Q29" s="17">
        <f t="shared" ref="Q29" si="176">P28</f>
        <v>5662.9</v>
      </c>
      <c r="R29" s="19">
        <f t="shared" ref="R29" si="177">P29-Q29</f>
        <v>343.30000000000018</v>
      </c>
      <c r="S29" s="17">
        <f t="shared" si="99"/>
        <v>1</v>
      </c>
      <c r="T29" s="19">
        <f t="shared" ref="T29" si="178">R29*S29</f>
        <v>343.30000000000018</v>
      </c>
      <c r="U29" s="19">
        <v>0.1</v>
      </c>
      <c r="V29" s="19">
        <v>0.95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190</v>
      </c>
      <c r="D31" s="19" t="s">
        <v>124</v>
      </c>
      <c r="E31" s="12">
        <f>E29+1.1</f>
        <v>96.399999999999991</v>
      </c>
      <c r="F31" s="17">
        <f t="shared" ref="F31" si="179">E29</f>
        <v>95.3</v>
      </c>
      <c r="G31" s="19">
        <f t="shared" ref="G31" si="180">E31-F31</f>
        <v>1.0999999999999943</v>
      </c>
      <c r="H31" s="91">
        <v>1</v>
      </c>
      <c r="I31" s="19">
        <f t="shared" ref="I31" si="181">G31*H31</f>
        <v>1.0999999999999943</v>
      </c>
      <c r="J31" s="12">
        <f>J29+299</f>
        <v>6208.1</v>
      </c>
      <c r="K31" s="17">
        <f t="shared" ref="K31" si="182">J29</f>
        <v>5909.1</v>
      </c>
      <c r="L31" s="19">
        <f t="shared" ref="L31" si="183">J31-K31</f>
        <v>299</v>
      </c>
      <c r="M31" s="17">
        <f>M29</f>
        <v>1</v>
      </c>
      <c r="N31" s="19">
        <f t="shared" ref="N31" si="184">L31*M31</f>
        <v>299</v>
      </c>
      <c r="O31" s="17">
        <f t="shared" ref="O31" si="185">N31-I31</f>
        <v>297.89999999999998</v>
      </c>
      <c r="P31" s="12">
        <f>P29+300</f>
        <v>6306.2</v>
      </c>
      <c r="Q31" s="17">
        <f t="shared" ref="Q31" si="186">P29</f>
        <v>6006.2</v>
      </c>
      <c r="R31" s="19">
        <f t="shared" ref="R31" si="187">P31-Q31</f>
        <v>300</v>
      </c>
      <c r="S31" s="17">
        <f>S28</f>
        <v>1</v>
      </c>
      <c r="T31" s="19">
        <f t="shared" ref="T31" si="188">R31*S31</f>
        <v>300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190</v>
      </c>
      <c r="D32" s="19" t="s">
        <v>124</v>
      </c>
      <c r="E32" s="12">
        <f>E31+1.1</f>
        <v>97.499999999999986</v>
      </c>
      <c r="F32" s="17">
        <f t="shared" ref="F32" si="189">E31</f>
        <v>96.399999999999991</v>
      </c>
      <c r="G32" s="19">
        <f t="shared" ref="G32" si="190">E32-F32</f>
        <v>1.0999999999999943</v>
      </c>
      <c r="H32" s="91">
        <v>1</v>
      </c>
      <c r="I32" s="19">
        <f t="shared" ref="I32" si="191">G32*H32</f>
        <v>1.0999999999999943</v>
      </c>
      <c r="J32" s="12">
        <f>J31+298</f>
        <v>6506.1</v>
      </c>
      <c r="K32" s="17">
        <f t="shared" ref="K32" si="192">J31</f>
        <v>6208.1</v>
      </c>
      <c r="L32" s="19">
        <f t="shared" ref="L32" si="193">J32-K32</f>
        <v>298</v>
      </c>
      <c r="M32" s="17">
        <f t="shared" si="87"/>
        <v>1</v>
      </c>
      <c r="N32" s="19">
        <f t="shared" ref="N32" si="194">L32*M32</f>
        <v>298</v>
      </c>
      <c r="O32" s="17">
        <f t="shared" ref="O32" si="195">N32-I32</f>
        <v>296.89999999999998</v>
      </c>
      <c r="P32" s="12">
        <f>P31+298</f>
        <v>6604.2</v>
      </c>
      <c r="Q32" s="17">
        <f t="shared" ref="Q32" si="196">P31</f>
        <v>6306.2</v>
      </c>
      <c r="R32" s="19">
        <f t="shared" ref="R32" si="197">P32-Q32</f>
        <v>298</v>
      </c>
      <c r="S32" s="17">
        <f>S29</f>
        <v>1</v>
      </c>
      <c r="T32" s="19">
        <f t="shared" ref="T32" si="198">R32*S32</f>
        <v>298</v>
      </c>
      <c r="U32" s="19"/>
      <c r="V32" s="19"/>
      <c r="W32" s="25"/>
    </row>
    <row r="33" spans="1:23" ht="15.75" x14ac:dyDescent="0.25">
      <c r="A33" s="12">
        <v>25</v>
      </c>
      <c r="B33" s="22" t="s">
        <v>281</v>
      </c>
      <c r="C33" s="19" t="s">
        <v>190</v>
      </c>
      <c r="D33" s="19" t="s">
        <v>124</v>
      </c>
      <c r="E33" s="12">
        <v>98.7</v>
      </c>
      <c r="F33" s="17">
        <f t="shared" ref="F33" si="199">E32</f>
        <v>97.499999999999986</v>
      </c>
      <c r="G33" s="19">
        <f t="shared" ref="G33" si="200">E33-F33</f>
        <v>1.2000000000000171</v>
      </c>
      <c r="H33" s="91">
        <v>1</v>
      </c>
      <c r="I33" s="19">
        <f t="shared" ref="I33" si="201">G33*H33</f>
        <v>1.2000000000000171</v>
      </c>
      <c r="J33" s="12">
        <f>J32+303</f>
        <v>6809.1</v>
      </c>
      <c r="K33" s="17">
        <f t="shared" ref="K33" si="202">J32</f>
        <v>6506.1</v>
      </c>
      <c r="L33" s="19">
        <f t="shared" ref="L33" si="203">J33-K33</f>
        <v>303</v>
      </c>
      <c r="M33" s="17">
        <f t="shared" si="87"/>
        <v>1</v>
      </c>
      <c r="N33" s="19">
        <f t="shared" ref="N33" si="204">L33*M33</f>
        <v>303</v>
      </c>
      <c r="O33" s="17">
        <f t="shared" ref="O33" si="205">N33-I33</f>
        <v>301.79999999999995</v>
      </c>
      <c r="P33" s="12">
        <v>6907.7</v>
      </c>
      <c r="Q33" s="17">
        <f t="shared" ref="Q33" si="206">P32</f>
        <v>6604.2</v>
      </c>
      <c r="R33" s="19">
        <f t="shared" ref="R33" si="207">P33-Q33</f>
        <v>303.5</v>
      </c>
      <c r="S33" s="17">
        <f t="shared" si="99"/>
        <v>1</v>
      </c>
      <c r="T33" s="19">
        <f t="shared" ref="T33" si="208">R33*S33</f>
        <v>303.5</v>
      </c>
      <c r="U33" s="19">
        <v>1.47</v>
      </c>
      <c r="V33" s="19">
        <v>0.97</v>
      </c>
      <c r="W33" s="25"/>
    </row>
    <row r="34" spans="1:23" ht="15.75" x14ac:dyDescent="0.25">
      <c r="A34" s="12">
        <v>26</v>
      </c>
      <c r="B34" s="22" t="s">
        <v>282</v>
      </c>
      <c r="C34" s="19" t="s">
        <v>190</v>
      </c>
      <c r="D34" s="19" t="s">
        <v>124</v>
      </c>
      <c r="E34" s="12">
        <v>101.9</v>
      </c>
      <c r="F34" s="17">
        <f t="shared" ref="F34" si="209">E33</f>
        <v>98.7</v>
      </c>
      <c r="G34" s="19">
        <f t="shared" ref="G34" si="210">E34-F34</f>
        <v>3.2000000000000028</v>
      </c>
      <c r="H34" s="91">
        <v>1</v>
      </c>
      <c r="I34" s="19">
        <f t="shared" ref="I34" si="211">G34*H34</f>
        <v>3.2000000000000028</v>
      </c>
      <c r="J34" s="12">
        <v>7060.2</v>
      </c>
      <c r="K34" s="17">
        <f t="shared" ref="K34" si="212">J33</f>
        <v>6809.1</v>
      </c>
      <c r="L34" s="19">
        <f t="shared" ref="L34" si="213">J34-K34</f>
        <v>251.09999999999945</v>
      </c>
      <c r="M34" s="17">
        <f t="shared" si="87"/>
        <v>1</v>
      </c>
      <c r="N34" s="19">
        <f t="shared" ref="N34" si="214">L34*M34</f>
        <v>251.09999999999945</v>
      </c>
      <c r="O34" s="17">
        <f t="shared" ref="O34" si="215">N34-I34</f>
        <v>247.89999999999947</v>
      </c>
      <c r="P34" s="12">
        <v>7161.1</v>
      </c>
      <c r="Q34" s="17">
        <f t="shared" ref="Q34" si="216">P33</f>
        <v>6907.7</v>
      </c>
      <c r="R34" s="19">
        <f t="shared" ref="R34" si="217">P34-Q34</f>
        <v>253.40000000000055</v>
      </c>
      <c r="S34" s="17">
        <f t="shared" si="99"/>
        <v>1</v>
      </c>
      <c r="T34" s="19">
        <f t="shared" ref="T34" si="218">R34*S34</f>
        <v>253.40000000000055</v>
      </c>
      <c r="U34" s="19"/>
      <c r="V34" s="19">
        <v>0.92</v>
      </c>
      <c r="W34" s="25"/>
    </row>
    <row r="35" spans="1:23" ht="15.75" x14ac:dyDescent="0.25">
      <c r="A35" s="12">
        <v>27</v>
      </c>
      <c r="B35" s="22" t="s">
        <v>283</v>
      </c>
      <c r="C35" s="19" t="s">
        <v>190</v>
      </c>
      <c r="D35" s="19" t="s">
        <v>124</v>
      </c>
      <c r="E35" s="12">
        <v>104.2</v>
      </c>
      <c r="F35" s="17">
        <f t="shared" ref="F35" si="219">E34</f>
        <v>101.9</v>
      </c>
      <c r="G35" s="19">
        <f t="shared" ref="G35" si="220">E35-F35</f>
        <v>2.2999999999999972</v>
      </c>
      <c r="H35" s="91">
        <v>1</v>
      </c>
      <c r="I35" s="19">
        <f t="shared" ref="I35" si="221">G35*H35</f>
        <v>2.2999999999999972</v>
      </c>
      <c r="J35" s="12">
        <v>7325.7</v>
      </c>
      <c r="K35" s="17">
        <f t="shared" ref="K35" si="222">J34</f>
        <v>7060.2</v>
      </c>
      <c r="L35" s="19">
        <f t="shared" ref="L35" si="223">J35-K35</f>
        <v>265.5</v>
      </c>
      <c r="M35" s="17">
        <f t="shared" si="87"/>
        <v>1</v>
      </c>
      <c r="N35" s="19">
        <f t="shared" ref="N35" si="224">L35*M35</f>
        <v>265.5</v>
      </c>
      <c r="O35" s="17">
        <f t="shared" ref="O35" si="225">N35-I35</f>
        <v>263.2</v>
      </c>
      <c r="P35" s="12">
        <v>7467.6</v>
      </c>
      <c r="Q35" s="17">
        <f t="shared" ref="Q35" si="226">P34</f>
        <v>7161.1</v>
      </c>
      <c r="R35" s="19">
        <f t="shared" ref="R35" si="227">P35-Q35</f>
        <v>306.5</v>
      </c>
      <c r="S35" s="17">
        <f t="shared" si="99"/>
        <v>1</v>
      </c>
      <c r="T35" s="19">
        <f t="shared" ref="T35" si="228">R35*S35</f>
        <v>306.5</v>
      </c>
      <c r="U35" s="19">
        <v>0.06</v>
      </c>
      <c r="V35" s="19">
        <v>0.95</v>
      </c>
      <c r="W35" s="25"/>
    </row>
    <row r="36" spans="1:23" ht="15.75" x14ac:dyDescent="0.25">
      <c r="A36" s="12">
        <v>28</v>
      </c>
      <c r="B36" s="22" t="s">
        <v>284</v>
      </c>
      <c r="C36" s="19" t="s">
        <v>190</v>
      </c>
      <c r="D36" s="19" t="s">
        <v>124</v>
      </c>
      <c r="E36" s="12">
        <v>105.1</v>
      </c>
      <c r="F36" s="17">
        <f t="shared" ref="F36" si="229">E35</f>
        <v>104.2</v>
      </c>
      <c r="G36" s="19">
        <f t="shared" ref="G36" si="230">E36-F36</f>
        <v>0.89999999999999147</v>
      </c>
      <c r="H36" s="91">
        <v>1</v>
      </c>
      <c r="I36" s="19">
        <f t="shared" ref="I36" si="231">G36*H36</f>
        <v>0.89999999999999147</v>
      </c>
      <c r="J36" s="12">
        <v>7637.7</v>
      </c>
      <c r="K36" s="17">
        <f t="shared" ref="K36" si="232">J35</f>
        <v>7325.7</v>
      </c>
      <c r="L36" s="19">
        <f t="shared" ref="L36" si="233">J36-K36</f>
        <v>312</v>
      </c>
      <c r="M36" s="17">
        <f t="shared" si="87"/>
        <v>1</v>
      </c>
      <c r="N36" s="19">
        <f t="shared" ref="N36" si="234">L36*M36</f>
        <v>312</v>
      </c>
      <c r="O36" s="17">
        <f t="shared" ref="O36" si="235">N36-I36</f>
        <v>311.10000000000002</v>
      </c>
      <c r="P36" s="12">
        <v>7730.1</v>
      </c>
      <c r="Q36" s="17">
        <f t="shared" ref="Q36" si="236">P35</f>
        <v>7467.6</v>
      </c>
      <c r="R36" s="19">
        <f t="shared" ref="R36" si="237">P36-Q36</f>
        <v>262.5</v>
      </c>
      <c r="S36" s="17">
        <f t="shared" si="99"/>
        <v>1</v>
      </c>
      <c r="T36" s="19">
        <f t="shared" ref="T36" si="238">R36*S36</f>
        <v>262.5</v>
      </c>
      <c r="U36" s="19">
        <v>0.17</v>
      </c>
      <c r="V36" s="19">
        <v>0.98</v>
      </c>
      <c r="W36" s="25"/>
    </row>
    <row r="37" spans="1:23" ht="15.75" x14ac:dyDescent="0.25">
      <c r="A37" s="12">
        <v>29</v>
      </c>
      <c r="B37" s="22" t="s">
        <v>286</v>
      </c>
      <c r="C37" s="19" t="s">
        <v>190</v>
      </c>
      <c r="D37" s="19" t="s">
        <v>124</v>
      </c>
      <c r="E37" s="12">
        <v>110.1</v>
      </c>
      <c r="F37" s="17">
        <f t="shared" ref="F37" si="239">E36</f>
        <v>105.1</v>
      </c>
      <c r="G37" s="19">
        <f t="shared" ref="G37" si="240">E37-F37</f>
        <v>5</v>
      </c>
      <c r="H37" s="91">
        <v>1</v>
      </c>
      <c r="I37" s="19">
        <f t="shared" ref="I37" si="241">G37*H37</f>
        <v>5</v>
      </c>
      <c r="J37" s="12">
        <v>7939</v>
      </c>
      <c r="K37" s="17">
        <f t="shared" ref="K37" si="242">J36</f>
        <v>7637.7</v>
      </c>
      <c r="L37" s="19">
        <f t="shared" ref="L37" si="243">J37-K37</f>
        <v>301.30000000000018</v>
      </c>
      <c r="M37" s="17">
        <f t="shared" si="87"/>
        <v>1</v>
      </c>
      <c r="N37" s="19">
        <f t="shared" ref="N37" si="244">L37*M37</f>
        <v>301.30000000000018</v>
      </c>
      <c r="O37" s="17">
        <f t="shared" ref="O37" si="245">N37-I37</f>
        <v>296.30000000000018</v>
      </c>
      <c r="P37" s="12">
        <v>8053.6</v>
      </c>
      <c r="Q37" s="17">
        <f t="shared" ref="Q37" si="246">P36</f>
        <v>7730.1</v>
      </c>
      <c r="R37" s="19">
        <f t="shared" ref="R37" si="247">P37-Q37</f>
        <v>323.5</v>
      </c>
      <c r="S37" s="17">
        <f t="shared" si="99"/>
        <v>1</v>
      </c>
      <c r="T37" s="19">
        <f t="shared" ref="T37" si="248">R37*S37</f>
        <v>323.5</v>
      </c>
      <c r="U37" s="19">
        <v>0.15</v>
      </c>
      <c r="V37" s="19">
        <v>0.88</v>
      </c>
      <c r="W37" s="25"/>
    </row>
    <row r="38" spans="1:23" ht="15.75" x14ac:dyDescent="0.25">
      <c r="A38" s="12">
        <v>30</v>
      </c>
      <c r="B38" s="22" t="s">
        <v>288</v>
      </c>
      <c r="C38" s="19" t="s">
        <v>190</v>
      </c>
      <c r="D38" s="19" t="s">
        <v>124</v>
      </c>
      <c r="E38" s="12">
        <v>110.1</v>
      </c>
      <c r="F38" s="17">
        <f t="shared" ref="F38" si="249">E37</f>
        <v>110.1</v>
      </c>
      <c r="G38" s="19">
        <f t="shared" ref="G38" si="250">E38-F38</f>
        <v>0</v>
      </c>
      <c r="H38" s="91">
        <v>1</v>
      </c>
      <c r="I38" s="19">
        <f t="shared" ref="I38" si="251">G38*H38</f>
        <v>0</v>
      </c>
      <c r="J38" s="12">
        <v>7939</v>
      </c>
      <c r="K38" s="17">
        <f t="shared" ref="K38" si="252">J37</f>
        <v>7939</v>
      </c>
      <c r="L38" s="19">
        <f t="shared" ref="L38" si="253">J38-K38</f>
        <v>0</v>
      </c>
      <c r="M38" s="17">
        <f t="shared" si="87"/>
        <v>1</v>
      </c>
      <c r="N38" s="19">
        <f t="shared" ref="N38" si="254">L38*M38</f>
        <v>0</v>
      </c>
      <c r="O38" s="17">
        <f t="shared" ref="O38" si="255">N38-I38</f>
        <v>0</v>
      </c>
      <c r="P38" s="12">
        <v>8165.3</v>
      </c>
      <c r="Q38" s="17">
        <f t="shared" ref="Q38" si="256">P37</f>
        <v>8053.6</v>
      </c>
      <c r="R38" s="19">
        <f t="shared" ref="R38" si="257">P38-Q38</f>
        <v>111.69999999999982</v>
      </c>
      <c r="S38" s="17">
        <f t="shared" si="99"/>
        <v>1</v>
      </c>
      <c r="T38" s="19">
        <f t="shared" ref="T38" si="258">R38*S38</f>
        <v>111.69999999999982</v>
      </c>
      <c r="U38" s="19">
        <v>0</v>
      </c>
      <c r="V38" s="19">
        <v>0.98</v>
      </c>
      <c r="W38" s="25"/>
    </row>
    <row r="39" spans="1:23" ht="15.75" x14ac:dyDescent="0.25">
      <c r="A39" s="12">
        <v>31</v>
      </c>
      <c r="B39" s="22" t="s">
        <v>289</v>
      </c>
      <c r="C39" s="19" t="s">
        <v>190</v>
      </c>
      <c r="D39" s="19" t="s">
        <v>124</v>
      </c>
      <c r="E39" s="12">
        <v>110.1</v>
      </c>
      <c r="F39" s="17">
        <f t="shared" ref="F39" si="259">E38</f>
        <v>110.1</v>
      </c>
      <c r="G39" s="19">
        <f t="shared" ref="G39" si="260">E39-F39</f>
        <v>0</v>
      </c>
      <c r="H39" s="91">
        <v>1</v>
      </c>
      <c r="I39" s="19">
        <f t="shared" ref="I39" si="261">G39*H39</f>
        <v>0</v>
      </c>
      <c r="J39" s="12">
        <v>7939</v>
      </c>
      <c r="K39" s="17">
        <f t="shared" ref="K39" si="262">J38</f>
        <v>7939</v>
      </c>
      <c r="L39" s="19">
        <f t="shared" ref="L39" si="263">J39-K39</f>
        <v>0</v>
      </c>
      <c r="M39" s="17">
        <f t="shared" si="87"/>
        <v>1</v>
      </c>
      <c r="N39" s="19">
        <f t="shared" ref="N39" si="264">L39*M39</f>
        <v>0</v>
      </c>
      <c r="O39" s="17">
        <f t="shared" ref="O39" si="265">N39-I39</f>
        <v>0</v>
      </c>
      <c r="P39" s="12">
        <v>8165.3</v>
      </c>
      <c r="Q39" s="17">
        <f t="shared" ref="Q39" si="266">P38</f>
        <v>8165.3</v>
      </c>
      <c r="R39" s="19">
        <f t="shared" ref="R39" si="267">P39-Q39</f>
        <v>0</v>
      </c>
      <c r="S39" s="17">
        <f t="shared" si="99"/>
        <v>1</v>
      </c>
      <c r="T39" s="19">
        <f t="shared" ref="T39" si="268">R39*S39</f>
        <v>0</v>
      </c>
      <c r="U39" s="19">
        <v>0</v>
      </c>
      <c r="V39" s="19">
        <v>0.98</v>
      </c>
      <c r="W39" s="25"/>
    </row>
    <row r="40" spans="1:23" ht="15.75" x14ac:dyDescent="0.25">
      <c r="A40" s="12">
        <v>32</v>
      </c>
      <c r="B40" s="22" t="s">
        <v>290</v>
      </c>
      <c r="C40" s="19" t="s">
        <v>190</v>
      </c>
      <c r="D40" s="19" t="s">
        <v>124</v>
      </c>
      <c r="E40" s="12">
        <v>110.1</v>
      </c>
      <c r="F40" s="17">
        <f t="shared" ref="F40" si="269">E39</f>
        <v>110.1</v>
      </c>
      <c r="G40" s="19">
        <f t="shared" ref="G40" si="270">E40-F40</f>
        <v>0</v>
      </c>
      <c r="H40" s="91">
        <v>1</v>
      </c>
      <c r="I40" s="19">
        <f t="shared" ref="I40" si="271">G40*H40</f>
        <v>0</v>
      </c>
      <c r="J40" s="12">
        <v>7939</v>
      </c>
      <c r="K40" s="17">
        <f t="shared" ref="K40" si="272">J39</f>
        <v>7939</v>
      </c>
      <c r="L40" s="19">
        <f t="shared" ref="L40" si="273">J40-K40</f>
        <v>0</v>
      </c>
      <c r="M40" s="17">
        <f t="shared" si="87"/>
        <v>1</v>
      </c>
      <c r="N40" s="19">
        <f t="shared" ref="N40" si="274">L40*M40</f>
        <v>0</v>
      </c>
      <c r="O40" s="17">
        <f t="shared" ref="O40" si="275">N40-I40</f>
        <v>0</v>
      </c>
      <c r="P40" s="12">
        <v>8165.3</v>
      </c>
      <c r="Q40" s="17">
        <f t="shared" ref="Q40" si="276">P39</f>
        <v>8165.3</v>
      </c>
      <c r="R40" s="19">
        <f t="shared" ref="R40" si="277">P40-Q40</f>
        <v>0</v>
      </c>
      <c r="S40" s="17">
        <f t="shared" si="99"/>
        <v>1</v>
      </c>
      <c r="T40" s="19">
        <f t="shared" ref="T40" si="278">R40*S40</f>
        <v>0</v>
      </c>
      <c r="U40" s="19">
        <v>0</v>
      </c>
      <c r="V40" s="19">
        <v>0.98</v>
      </c>
      <c r="W40" s="25"/>
    </row>
    <row r="41" spans="1:23" ht="15.75" x14ac:dyDescent="0.25">
      <c r="A41" s="12">
        <v>33</v>
      </c>
      <c r="B41" s="22" t="s">
        <v>291</v>
      </c>
      <c r="C41" s="19" t="s">
        <v>190</v>
      </c>
      <c r="D41" s="19" t="s">
        <v>124</v>
      </c>
      <c r="E41" s="12">
        <v>110.1</v>
      </c>
      <c r="F41" s="17">
        <f t="shared" ref="F41:F48" si="279">E40</f>
        <v>110.1</v>
      </c>
      <c r="G41" s="19">
        <f t="shared" ref="G41:G48" si="280">E41-F41</f>
        <v>0</v>
      </c>
      <c r="H41" s="91">
        <v>1</v>
      </c>
      <c r="I41" s="19">
        <f t="shared" ref="I41:I48" si="281">G41*H41</f>
        <v>0</v>
      </c>
      <c r="J41" s="12">
        <v>7939</v>
      </c>
      <c r="K41" s="17">
        <f t="shared" ref="K41:K48" si="282">J40</f>
        <v>7939</v>
      </c>
      <c r="L41" s="19">
        <f t="shared" ref="L41:L48" si="283">J41-K41</f>
        <v>0</v>
      </c>
      <c r="M41" s="17">
        <f t="shared" si="87"/>
        <v>1</v>
      </c>
      <c r="N41" s="19">
        <f t="shared" ref="N41:N48" si="284">L41*M41</f>
        <v>0</v>
      </c>
      <c r="O41" s="17">
        <f t="shared" ref="O41:O48" si="285">N41-I41</f>
        <v>0</v>
      </c>
      <c r="P41" s="12">
        <v>8165.3</v>
      </c>
      <c r="Q41" s="17">
        <f t="shared" ref="Q41:Q48" si="286">P40</f>
        <v>8165.3</v>
      </c>
      <c r="R41" s="19">
        <f t="shared" ref="R41:R48" si="287">P41-Q41</f>
        <v>0</v>
      </c>
      <c r="S41" s="17">
        <f t="shared" si="99"/>
        <v>1</v>
      </c>
      <c r="T41" s="19">
        <f t="shared" ref="T41:T48" si="288">R41*S41</f>
        <v>0</v>
      </c>
      <c r="U41" s="19">
        <v>0</v>
      </c>
      <c r="V41" s="19">
        <v>0.99</v>
      </c>
      <c r="W41" s="25"/>
    </row>
    <row r="42" spans="1:23" ht="15.75" x14ac:dyDescent="0.25">
      <c r="A42" s="12">
        <v>34</v>
      </c>
      <c r="B42" s="22" t="s">
        <v>292</v>
      </c>
      <c r="C42" s="19" t="s">
        <v>190</v>
      </c>
      <c r="D42" s="19" t="s">
        <v>124</v>
      </c>
      <c r="E42" s="12">
        <v>110.1</v>
      </c>
      <c r="F42" s="17">
        <f t="shared" si="279"/>
        <v>110.1</v>
      </c>
      <c r="G42" s="19">
        <f t="shared" si="280"/>
        <v>0</v>
      </c>
      <c r="H42" s="91">
        <v>1</v>
      </c>
      <c r="I42" s="19">
        <f t="shared" si="281"/>
        <v>0</v>
      </c>
      <c r="J42" s="12">
        <v>7939</v>
      </c>
      <c r="K42" s="17">
        <f t="shared" si="282"/>
        <v>7939</v>
      </c>
      <c r="L42" s="19">
        <f t="shared" si="283"/>
        <v>0</v>
      </c>
      <c r="M42" s="17">
        <f t="shared" si="87"/>
        <v>1</v>
      </c>
      <c r="N42" s="19">
        <f t="shared" si="284"/>
        <v>0</v>
      </c>
      <c r="O42" s="17">
        <f t="shared" si="285"/>
        <v>0</v>
      </c>
      <c r="P42" s="12">
        <v>8165.3</v>
      </c>
      <c r="Q42" s="17">
        <f t="shared" si="286"/>
        <v>8165.3</v>
      </c>
      <c r="R42" s="19">
        <f t="shared" si="287"/>
        <v>0</v>
      </c>
      <c r="S42" s="17">
        <f t="shared" si="99"/>
        <v>1</v>
      </c>
      <c r="T42" s="19">
        <f t="shared" si="288"/>
        <v>0</v>
      </c>
      <c r="U42" s="19">
        <v>0</v>
      </c>
      <c r="V42" s="19">
        <v>1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190</v>
      </c>
      <c r="D44" s="19" t="s">
        <v>124</v>
      </c>
      <c r="E44" s="12">
        <v>110.1</v>
      </c>
      <c r="F44" s="17">
        <f>E42</f>
        <v>110.1</v>
      </c>
      <c r="G44" s="19">
        <f t="shared" si="280"/>
        <v>0</v>
      </c>
      <c r="H44" s="91">
        <v>1</v>
      </c>
      <c r="I44" s="19">
        <f t="shared" si="281"/>
        <v>0</v>
      </c>
      <c r="J44" s="12">
        <v>7939</v>
      </c>
      <c r="K44" s="17">
        <f>J42</f>
        <v>7939</v>
      </c>
      <c r="L44" s="19">
        <f t="shared" si="283"/>
        <v>0</v>
      </c>
      <c r="M44" s="17">
        <f>M42</f>
        <v>1</v>
      </c>
      <c r="N44" s="19">
        <f t="shared" si="284"/>
        <v>0</v>
      </c>
      <c r="O44" s="17">
        <f t="shared" si="285"/>
        <v>0</v>
      </c>
      <c r="P44" s="12">
        <v>8165.3</v>
      </c>
      <c r="Q44" s="17">
        <f>P42</f>
        <v>8165.3</v>
      </c>
      <c r="R44" s="19">
        <f t="shared" si="287"/>
        <v>0</v>
      </c>
      <c r="S44" s="17">
        <f>S41</f>
        <v>1</v>
      </c>
      <c r="T44" s="19">
        <f t="shared" si="288"/>
        <v>0</v>
      </c>
      <c r="U44" s="19">
        <v>0</v>
      </c>
      <c r="V44" s="19">
        <v>1</v>
      </c>
      <c r="W44" s="25"/>
    </row>
    <row r="45" spans="1:23" ht="15.75" x14ac:dyDescent="0.25">
      <c r="A45" s="12">
        <v>36</v>
      </c>
      <c r="B45" s="22" t="s">
        <v>294</v>
      </c>
      <c r="C45" s="19" t="s">
        <v>190</v>
      </c>
      <c r="D45" s="19" t="s">
        <v>124</v>
      </c>
      <c r="E45" s="12">
        <v>110.1</v>
      </c>
      <c r="F45" s="17">
        <f t="shared" si="279"/>
        <v>110.1</v>
      </c>
      <c r="G45" s="19">
        <f t="shared" si="280"/>
        <v>0</v>
      </c>
      <c r="H45" s="91">
        <v>1</v>
      </c>
      <c r="I45" s="19">
        <f t="shared" si="281"/>
        <v>0</v>
      </c>
      <c r="J45" s="12">
        <v>7939</v>
      </c>
      <c r="K45" s="17">
        <f t="shared" si="282"/>
        <v>7939</v>
      </c>
      <c r="L45" s="19">
        <f t="shared" si="283"/>
        <v>0</v>
      </c>
      <c r="M45" s="17">
        <f t="shared" si="87"/>
        <v>1</v>
      </c>
      <c r="N45" s="19">
        <f t="shared" si="284"/>
        <v>0</v>
      </c>
      <c r="O45" s="17">
        <f t="shared" si="285"/>
        <v>0</v>
      </c>
      <c r="P45" s="12">
        <v>8165.3</v>
      </c>
      <c r="Q45" s="17">
        <f t="shared" si="286"/>
        <v>8165.3</v>
      </c>
      <c r="R45" s="19">
        <f t="shared" si="287"/>
        <v>0</v>
      </c>
      <c r="S45" s="17">
        <f>S42</f>
        <v>1</v>
      </c>
      <c r="T45" s="19">
        <f t="shared" si="288"/>
        <v>0</v>
      </c>
      <c r="U45" s="19">
        <v>0</v>
      </c>
      <c r="V45" s="19">
        <v>1</v>
      </c>
      <c r="W45" s="25"/>
    </row>
    <row r="46" spans="1:23" ht="15.75" x14ac:dyDescent="0.25">
      <c r="A46" s="12">
        <v>37</v>
      </c>
      <c r="B46" s="22" t="s">
        <v>295</v>
      </c>
      <c r="C46" s="19" t="s">
        <v>190</v>
      </c>
      <c r="D46" s="19" t="s">
        <v>124</v>
      </c>
      <c r="E46" s="12">
        <v>112.5</v>
      </c>
      <c r="F46" s="17">
        <f t="shared" si="279"/>
        <v>110.1</v>
      </c>
      <c r="G46" s="19">
        <f t="shared" si="280"/>
        <v>2.4000000000000057</v>
      </c>
      <c r="H46" s="91">
        <v>1</v>
      </c>
      <c r="I46" s="19">
        <f t="shared" si="281"/>
        <v>2.4000000000000057</v>
      </c>
      <c r="J46" s="12">
        <v>8258.6</v>
      </c>
      <c r="K46" s="17">
        <f t="shared" si="282"/>
        <v>7939</v>
      </c>
      <c r="L46" s="19">
        <f t="shared" si="283"/>
        <v>319.60000000000036</v>
      </c>
      <c r="M46" s="17">
        <f t="shared" si="87"/>
        <v>1</v>
      </c>
      <c r="N46" s="19">
        <f t="shared" si="284"/>
        <v>319.60000000000036</v>
      </c>
      <c r="O46" s="17">
        <f t="shared" si="285"/>
        <v>317.20000000000039</v>
      </c>
      <c r="P46" s="12">
        <v>8361.6</v>
      </c>
      <c r="Q46" s="17">
        <f t="shared" si="286"/>
        <v>8165.3</v>
      </c>
      <c r="R46" s="19">
        <f t="shared" si="287"/>
        <v>196.30000000000018</v>
      </c>
      <c r="S46" s="17">
        <f t="shared" si="99"/>
        <v>1</v>
      </c>
      <c r="T46" s="19">
        <f t="shared" si="288"/>
        <v>196.30000000000018</v>
      </c>
      <c r="U46" s="19">
        <v>0.01</v>
      </c>
      <c r="V46" s="19">
        <v>0.98</v>
      </c>
      <c r="W46" s="25"/>
    </row>
    <row r="47" spans="1:23" ht="15.75" x14ac:dyDescent="0.25">
      <c r="A47" s="12">
        <v>38</v>
      </c>
      <c r="B47" s="22" t="s">
        <v>296</v>
      </c>
      <c r="C47" s="19" t="s">
        <v>190</v>
      </c>
      <c r="D47" s="19" t="s">
        <v>124</v>
      </c>
      <c r="E47" s="12">
        <v>113.4</v>
      </c>
      <c r="F47" s="17">
        <f t="shared" si="279"/>
        <v>112.5</v>
      </c>
      <c r="G47" s="19">
        <f t="shared" si="280"/>
        <v>0.90000000000000568</v>
      </c>
      <c r="H47" s="91">
        <v>1</v>
      </c>
      <c r="I47" s="19">
        <f t="shared" si="281"/>
        <v>0.90000000000000568</v>
      </c>
      <c r="J47" s="12">
        <v>8470.7999999999993</v>
      </c>
      <c r="K47" s="17">
        <f t="shared" si="282"/>
        <v>8258.6</v>
      </c>
      <c r="L47" s="19">
        <f t="shared" si="283"/>
        <v>212.19999999999891</v>
      </c>
      <c r="M47" s="17">
        <f t="shared" si="87"/>
        <v>1</v>
      </c>
      <c r="N47" s="19">
        <f t="shared" si="284"/>
        <v>212.19999999999891</v>
      </c>
      <c r="O47" s="17">
        <f t="shared" si="285"/>
        <v>211.2999999999989</v>
      </c>
      <c r="P47" s="12">
        <v>8569.5</v>
      </c>
      <c r="Q47" s="17">
        <f t="shared" si="286"/>
        <v>8361.6</v>
      </c>
      <c r="R47" s="19">
        <f t="shared" si="287"/>
        <v>207.89999999999964</v>
      </c>
      <c r="S47" s="17">
        <f t="shared" si="99"/>
        <v>1</v>
      </c>
      <c r="T47" s="19">
        <f t="shared" si="288"/>
        <v>207.89999999999964</v>
      </c>
      <c r="U47" s="19">
        <v>0.01</v>
      </c>
      <c r="V47" s="19">
        <v>0.97</v>
      </c>
      <c r="W47" s="25"/>
    </row>
    <row r="48" spans="1:23" ht="15.75" x14ac:dyDescent="0.25">
      <c r="A48" s="12">
        <v>39</v>
      </c>
      <c r="B48" s="22" t="s">
        <v>297</v>
      </c>
      <c r="C48" s="19" t="s">
        <v>190</v>
      </c>
      <c r="D48" s="19" t="s">
        <v>124</v>
      </c>
      <c r="E48" s="12">
        <v>115</v>
      </c>
      <c r="F48" s="17">
        <f t="shared" si="279"/>
        <v>113.4</v>
      </c>
      <c r="G48" s="19">
        <f t="shared" si="280"/>
        <v>1.5999999999999943</v>
      </c>
      <c r="H48" s="91">
        <v>1</v>
      </c>
      <c r="I48" s="19">
        <f t="shared" si="281"/>
        <v>1.5999999999999943</v>
      </c>
      <c r="J48" s="12">
        <v>8708</v>
      </c>
      <c r="K48" s="17">
        <f t="shared" si="282"/>
        <v>8470.7999999999993</v>
      </c>
      <c r="L48" s="19">
        <f t="shared" si="283"/>
        <v>237.20000000000073</v>
      </c>
      <c r="M48" s="17">
        <f t="shared" si="87"/>
        <v>1</v>
      </c>
      <c r="N48" s="19">
        <f t="shared" si="284"/>
        <v>237.20000000000073</v>
      </c>
      <c r="O48" s="17">
        <f t="shared" si="285"/>
        <v>235.60000000000073</v>
      </c>
      <c r="P48" s="12">
        <v>8817.4</v>
      </c>
      <c r="Q48" s="17">
        <f t="shared" si="286"/>
        <v>8569.5</v>
      </c>
      <c r="R48" s="19">
        <f t="shared" si="287"/>
        <v>247.89999999999964</v>
      </c>
      <c r="S48" s="17">
        <f t="shared" si="99"/>
        <v>1</v>
      </c>
      <c r="T48" s="19">
        <f t="shared" si="288"/>
        <v>247.89999999999964</v>
      </c>
      <c r="U48" s="19">
        <v>0.1</v>
      </c>
      <c r="V48" s="19">
        <v>0.98</v>
      </c>
      <c r="W48" s="25"/>
    </row>
    <row r="49" spans="1:23" ht="15.75" x14ac:dyDescent="0.25">
      <c r="A49" s="12">
        <v>40</v>
      </c>
      <c r="B49" s="22" t="s">
        <v>298</v>
      </c>
      <c r="C49" s="19" t="s">
        <v>190</v>
      </c>
      <c r="D49" s="19" t="s">
        <v>124</v>
      </c>
      <c r="E49" s="12">
        <v>115.5</v>
      </c>
      <c r="F49" s="17">
        <f t="shared" ref="F49" si="289">E48</f>
        <v>115</v>
      </c>
      <c r="G49" s="19">
        <f t="shared" ref="G49" si="290">E49-F49</f>
        <v>0.5</v>
      </c>
      <c r="H49" s="91">
        <v>1</v>
      </c>
      <c r="I49" s="19">
        <f t="shared" ref="I49" si="291">G49*H49</f>
        <v>0.5</v>
      </c>
      <c r="J49" s="12">
        <v>8933</v>
      </c>
      <c r="K49" s="17">
        <f t="shared" ref="K49" si="292">J48</f>
        <v>8708</v>
      </c>
      <c r="L49" s="19">
        <f t="shared" ref="L49" si="293">J49-K49</f>
        <v>225</v>
      </c>
      <c r="M49" s="17">
        <f t="shared" si="87"/>
        <v>1</v>
      </c>
      <c r="N49" s="19">
        <f t="shared" ref="N49" si="294">L49*M49</f>
        <v>225</v>
      </c>
      <c r="O49" s="17">
        <f t="shared" ref="O49" si="295">N49-I49</f>
        <v>224.5</v>
      </c>
      <c r="P49" s="12">
        <v>9047.4</v>
      </c>
      <c r="Q49" s="17">
        <f t="shared" ref="Q49" si="296">P48</f>
        <v>8817.4</v>
      </c>
      <c r="R49" s="19">
        <f t="shared" ref="R49" si="297">P49-Q49</f>
        <v>230</v>
      </c>
      <c r="S49" s="17">
        <f t="shared" si="99"/>
        <v>1</v>
      </c>
      <c r="T49" s="19">
        <f t="shared" ref="T49" si="298">R49*S49</f>
        <v>230</v>
      </c>
      <c r="U49" s="19">
        <v>0.05</v>
      </c>
      <c r="V49" s="19">
        <v>0.98</v>
      </c>
      <c r="W49" s="25"/>
    </row>
    <row r="50" spans="1:23" ht="15.75" x14ac:dyDescent="0.25">
      <c r="A50" s="12">
        <v>41</v>
      </c>
      <c r="B50" s="22" t="s">
        <v>299</v>
      </c>
      <c r="C50" s="19" t="s">
        <v>190</v>
      </c>
      <c r="D50" s="19" t="s">
        <v>124</v>
      </c>
      <c r="E50" s="12">
        <v>118</v>
      </c>
      <c r="F50" s="17">
        <f t="shared" ref="F50" si="299">E49</f>
        <v>115.5</v>
      </c>
      <c r="G50" s="19">
        <f t="shared" ref="G50" si="300">E50-F50</f>
        <v>2.5</v>
      </c>
      <c r="H50" s="91">
        <v>1</v>
      </c>
      <c r="I50" s="19">
        <f t="shared" ref="I50" si="301">G50*H50</f>
        <v>2.5</v>
      </c>
      <c r="J50" s="12">
        <v>9333.2000000000007</v>
      </c>
      <c r="K50" s="17">
        <f t="shared" ref="K50" si="302">J49</f>
        <v>8933</v>
      </c>
      <c r="L50" s="19">
        <f t="shared" ref="L50" si="303">J50-K50</f>
        <v>400.20000000000073</v>
      </c>
      <c r="M50" s="17">
        <f t="shared" si="87"/>
        <v>1</v>
      </c>
      <c r="N50" s="19">
        <f t="shared" ref="N50" si="304">L50*M50</f>
        <v>400.20000000000073</v>
      </c>
      <c r="O50" s="17">
        <f t="shared" ref="O50" si="305">N50-I50</f>
        <v>397.70000000000073</v>
      </c>
      <c r="P50" s="12">
        <v>9447.2000000000007</v>
      </c>
      <c r="Q50" s="17">
        <f t="shared" ref="Q50" si="306">P49</f>
        <v>9047.4</v>
      </c>
      <c r="R50" s="19">
        <f t="shared" ref="R50" si="307">P50-Q50</f>
        <v>399.80000000000109</v>
      </c>
      <c r="S50" s="17">
        <f t="shared" si="99"/>
        <v>1</v>
      </c>
      <c r="T50" s="19">
        <f t="shared" ref="T50" si="308">R50*S50</f>
        <v>399.80000000000109</v>
      </c>
      <c r="U50" s="19">
        <v>7.0000000000000007E-2</v>
      </c>
      <c r="V50" s="19">
        <v>0.99</v>
      </c>
      <c r="W50" s="25"/>
    </row>
    <row r="51" spans="1:23" ht="15.75" x14ac:dyDescent="0.25">
      <c r="A51" s="12">
        <v>42</v>
      </c>
      <c r="B51" s="22" t="s">
        <v>300</v>
      </c>
      <c r="C51" s="19" t="s">
        <v>190</v>
      </c>
      <c r="D51" s="19" t="s">
        <v>124</v>
      </c>
      <c r="E51" s="12">
        <v>119.4</v>
      </c>
      <c r="F51" s="17">
        <f t="shared" ref="F51" si="309">E50</f>
        <v>118</v>
      </c>
      <c r="G51" s="19">
        <f t="shared" ref="G51" si="310">E51-F51</f>
        <v>1.4000000000000057</v>
      </c>
      <c r="H51" s="91">
        <v>1</v>
      </c>
      <c r="I51" s="19">
        <f t="shared" ref="I51" si="311">G51*H51</f>
        <v>1.4000000000000057</v>
      </c>
      <c r="J51" s="12">
        <v>9622.7999999999993</v>
      </c>
      <c r="K51" s="17">
        <f t="shared" ref="K51" si="312">J50</f>
        <v>9333.2000000000007</v>
      </c>
      <c r="L51" s="19">
        <f t="shared" ref="L51" si="313">J51-K51</f>
        <v>289.59999999999854</v>
      </c>
      <c r="M51" s="17">
        <f t="shared" si="87"/>
        <v>1</v>
      </c>
      <c r="N51" s="19">
        <f t="shared" ref="N51" si="314">L51*M51</f>
        <v>289.59999999999854</v>
      </c>
      <c r="O51" s="17">
        <f t="shared" ref="O51" si="315">N51-I51</f>
        <v>288.19999999999857</v>
      </c>
      <c r="P51" s="12">
        <v>9727.1</v>
      </c>
      <c r="Q51" s="17">
        <f t="shared" ref="Q51" si="316">P50</f>
        <v>9447.2000000000007</v>
      </c>
      <c r="R51" s="19">
        <f t="shared" ref="R51" si="317">P51-Q51</f>
        <v>279.89999999999964</v>
      </c>
      <c r="S51" s="17">
        <f t="shared" si="99"/>
        <v>1</v>
      </c>
      <c r="T51" s="19">
        <f t="shared" ref="T51" si="318">R51*S51</f>
        <v>279.89999999999964</v>
      </c>
      <c r="U51" s="19">
        <v>0.17399999999999999</v>
      </c>
      <c r="V51" s="19">
        <v>0.98</v>
      </c>
      <c r="W51" s="25"/>
    </row>
    <row r="52" spans="1:23" ht="15.75" x14ac:dyDescent="0.25">
      <c r="A52" s="105">
        <v>43</v>
      </c>
      <c r="B52" s="22" t="s">
        <v>301</v>
      </c>
      <c r="C52" s="111" t="s">
        <v>190</v>
      </c>
      <c r="D52" s="111" t="s">
        <v>124</v>
      </c>
      <c r="E52" s="105">
        <v>121.2</v>
      </c>
      <c r="F52" s="106">
        <f t="shared" ref="F52:F54" si="319">E51</f>
        <v>119.4</v>
      </c>
      <c r="G52" s="111">
        <f t="shared" ref="G52:G54" si="320">E52-F52</f>
        <v>1.7999999999999972</v>
      </c>
      <c r="H52" s="91">
        <v>1</v>
      </c>
      <c r="I52" s="111">
        <f t="shared" ref="I52:I54" si="321">G52*H52</f>
        <v>1.7999999999999972</v>
      </c>
      <c r="J52" s="105">
        <v>9906.2999999999993</v>
      </c>
      <c r="K52" s="106">
        <f t="shared" ref="K52:K54" si="322">J51</f>
        <v>9622.7999999999993</v>
      </c>
      <c r="L52" s="111">
        <f t="shared" ref="L52:L54" si="323">J52-K52</f>
        <v>283.5</v>
      </c>
      <c r="M52" s="106">
        <f t="shared" si="87"/>
        <v>1</v>
      </c>
      <c r="N52" s="111">
        <f t="shared" ref="N52:N54" si="324">L52*M52</f>
        <v>283.5</v>
      </c>
      <c r="O52" s="106">
        <f t="shared" ref="O52:O54" si="325">N52-I52</f>
        <v>281.7</v>
      </c>
      <c r="P52" s="105">
        <v>10022.200000000001</v>
      </c>
      <c r="Q52" s="106">
        <f t="shared" ref="Q52:Q54" si="326">P51</f>
        <v>9727.1</v>
      </c>
      <c r="R52" s="111">
        <f t="shared" ref="R52:R54" si="327">P52-Q52</f>
        <v>295.10000000000036</v>
      </c>
      <c r="S52" s="106">
        <f t="shared" si="99"/>
        <v>1</v>
      </c>
      <c r="T52" s="111">
        <f t="shared" ref="T52:T54" si="328">R52*S52</f>
        <v>295.10000000000036</v>
      </c>
      <c r="U52" s="111">
        <v>0.14699999999999999</v>
      </c>
      <c r="V52" s="111">
        <v>0.98</v>
      </c>
      <c r="W52" s="25"/>
    </row>
    <row r="53" spans="1:23" ht="15.75" x14ac:dyDescent="0.25">
      <c r="A53" s="105">
        <v>44</v>
      </c>
      <c r="B53" s="22" t="s">
        <v>302</v>
      </c>
      <c r="C53" s="111" t="s">
        <v>190</v>
      </c>
      <c r="D53" s="111" t="s">
        <v>124</v>
      </c>
      <c r="E53" s="105">
        <v>126.2</v>
      </c>
      <c r="F53" s="106">
        <f t="shared" si="319"/>
        <v>121.2</v>
      </c>
      <c r="G53" s="111">
        <f t="shared" si="320"/>
        <v>5</v>
      </c>
      <c r="H53" s="91">
        <v>1</v>
      </c>
      <c r="I53" s="111">
        <f t="shared" si="321"/>
        <v>5</v>
      </c>
      <c r="J53" s="105">
        <v>10222.799999999999</v>
      </c>
      <c r="K53" s="106">
        <f t="shared" si="322"/>
        <v>9906.2999999999993</v>
      </c>
      <c r="L53" s="111">
        <f t="shared" si="323"/>
        <v>316.5</v>
      </c>
      <c r="M53" s="106">
        <f t="shared" si="87"/>
        <v>1</v>
      </c>
      <c r="N53" s="111">
        <f t="shared" si="324"/>
        <v>316.5</v>
      </c>
      <c r="O53" s="106">
        <f t="shared" si="325"/>
        <v>311.5</v>
      </c>
      <c r="P53" s="105">
        <v>10330.6</v>
      </c>
      <c r="Q53" s="106">
        <f t="shared" si="326"/>
        <v>10022.200000000001</v>
      </c>
      <c r="R53" s="111">
        <f t="shared" si="327"/>
        <v>308.39999999999964</v>
      </c>
      <c r="S53" s="106">
        <f t="shared" si="99"/>
        <v>1</v>
      </c>
      <c r="T53" s="111">
        <f t="shared" si="328"/>
        <v>308.39999999999964</v>
      </c>
      <c r="U53" s="111">
        <v>0.14699999999999999</v>
      </c>
      <c r="V53" s="111">
        <v>0.98</v>
      </c>
      <c r="W53" s="25"/>
    </row>
    <row r="54" spans="1:23" ht="15.75" x14ac:dyDescent="0.25">
      <c r="A54" s="120">
        <v>45</v>
      </c>
      <c r="B54" s="22" t="s">
        <v>303</v>
      </c>
      <c r="C54" s="118" t="s">
        <v>190</v>
      </c>
      <c r="D54" s="118" t="s">
        <v>124</v>
      </c>
      <c r="E54" s="120">
        <v>131.4</v>
      </c>
      <c r="F54" s="119">
        <f t="shared" si="319"/>
        <v>126.2</v>
      </c>
      <c r="G54" s="118">
        <f t="shared" si="320"/>
        <v>5.2000000000000028</v>
      </c>
      <c r="H54" s="91">
        <v>1</v>
      </c>
      <c r="I54" s="118">
        <f t="shared" si="321"/>
        <v>5.2000000000000028</v>
      </c>
      <c r="J54" s="120">
        <v>10316.1</v>
      </c>
      <c r="K54" s="119">
        <f t="shared" si="322"/>
        <v>10222.799999999999</v>
      </c>
      <c r="L54" s="118">
        <f t="shared" si="323"/>
        <v>93.300000000001091</v>
      </c>
      <c r="M54" s="119">
        <f t="shared" si="87"/>
        <v>1</v>
      </c>
      <c r="N54" s="118">
        <f t="shared" si="324"/>
        <v>93.300000000001091</v>
      </c>
      <c r="O54" s="119">
        <f t="shared" si="325"/>
        <v>88.100000000001089</v>
      </c>
      <c r="P54" s="120">
        <v>10422.5</v>
      </c>
      <c r="Q54" s="119">
        <f t="shared" si="326"/>
        <v>10330.6</v>
      </c>
      <c r="R54" s="118">
        <f t="shared" si="327"/>
        <v>91.899999999999636</v>
      </c>
      <c r="S54" s="119">
        <f t="shared" si="99"/>
        <v>1</v>
      </c>
      <c r="T54" s="118">
        <f t="shared" si="328"/>
        <v>91.899999999999636</v>
      </c>
      <c r="U54" s="118">
        <v>0.14000000000000001</v>
      </c>
      <c r="V54" s="118">
        <v>0.98</v>
      </c>
      <c r="W54" s="25"/>
    </row>
    <row r="55" spans="1:23" ht="15.75" x14ac:dyDescent="0.25">
      <c r="A55" s="120">
        <v>46</v>
      </c>
      <c r="B55" s="116" t="s">
        <v>305</v>
      </c>
      <c r="C55" s="118" t="s">
        <v>190</v>
      </c>
      <c r="D55" s="118" t="s">
        <v>124</v>
      </c>
      <c r="E55" s="120">
        <v>137.5</v>
      </c>
      <c r="F55" s="119">
        <f t="shared" ref="F55" si="329">E54</f>
        <v>131.4</v>
      </c>
      <c r="G55" s="118">
        <f t="shared" ref="G55" si="330">E55-F55</f>
        <v>6.0999999999999943</v>
      </c>
      <c r="H55" s="91">
        <v>1</v>
      </c>
      <c r="I55" s="118">
        <f t="shared" ref="I55" si="331">G55*H55</f>
        <v>6.0999999999999943</v>
      </c>
      <c r="J55" s="120">
        <v>10316.1</v>
      </c>
      <c r="K55" s="119">
        <f t="shared" ref="K55" si="332">J54</f>
        <v>10316.1</v>
      </c>
      <c r="L55" s="118">
        <f t="shared" ref="L55" si="333">J55-K55</f>
        <v>0</v>
      </c>
      <c r="M55" s="119">
        <f t="shared" si="87"/>
        <v>1</v>
      </c>
      <c r="N55" s="118">
        <f t="shared" ref="N55" si="334">L55*M55</f>
        <v>0</v>
      </c>
      <c r="O55" s="119">
        <f t="shared" ref="O55" si="335">N55-I55</f>
        <v>-6.0999999999999943</v>
      </c>
      <c r="P55" s="120">
        <v>10423.1</v>
      </c>
      <c r="Q55" s="119">
        <f t="shared" ref="Q55" si="336">P54</f>
        <v>10422.5</v>
      </c>
      <c r="R55" s="118">
        <f t="shared" ref="R55" si="337">P55-Q55</f>
        <v>0.6000000000003638</v>
      </c>
      <c r="S55" s="119">
        <f t="shared" si="99"/>
        <v>1</v>
      </c>
      <c r="T55" s="118">
        <f t="shared" ref="T55" si="338">R55*S55</f>
        <v>0.6000000000003638</v>
      </c>
      <c r="U55" s="118">
        <v>0.13</v>
      </c>
      <c r="V55" s="118">
        <v>0.98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5">
        <v>47</v>
      </c>
      <c r="B57" s="116" t="s">
        <v>306</v>
      </c>
      <c r="C57" s="123" t="s">
        <v>190</v>
      </c>
      <c r="D57" s="123" t="s">
        <v>124</v>
      </c>
      <c r="E57" s="126">
        <v>139</v>
      </c>
      <c r="F57" s="127">
        <f t="shared" ref="F57" si="339">E55</f>
        <v>137.5</v>
      </c>
      <c r="G57" s="129">
        <f t="shared" ref="G57" si="340">E57-F57</f>
        <v>1.5</v>
      </c>
      <c r="H57" s="91">
        <v>1</v>
      </c>
      <c r="I57" s="129">
        <f t="shared" ref="I57" si="341">G57*H57</f>
        <v>1.5</v>
      </c>
      <c r="J57" s="126">
        <v>10316.1</v>
      </c>
      <c r="K57" s="127">
        <f t="shared" ref="K57" si="342">J55</f>
        <v>10316.1</v>
      </c>
      <c r="L57" s="129">
        <f t="shared" ref="L57" si="343">J57-K57</f>
        <v>0</v>
      </c>
      <c r="M57" s="127">
        <f>M55</f>
        <v>1</v>
      </c>
      <c r="N57" s="129">
        <f t="shared" ref="N57" si="344">L57*M57</f>
        <v>0</v>
      </c>
      <c r="O57" s="127">
        <f t="shared" ref="O57" si="345">N57-I57</f>
        <v>-1.5</v>
      </c>
      <c r="P57" s="126">
        <v>10423.6</v>
      </c>
      <c r="Q57" s="127">
        <f t="shared" ref="Q57" si="346">P55</f>
        <v>10423.1</v>
      </c>
      <c r="R57" s="129">
        <f t="shared" ref="R57" si="347">P57-Q57</f>
        <v>0.5</v>
      </c>
      <c r="S57" s="127">
        <f>S54</f>
        <v>1</v>
      </c>
      <c r="T57" s="129">
        <f t="shared" ref="T57" si="348">R57*S57</f>
        <v>0.5</v>
      </c>
      <c r="U57" s="129">
        <v>0.15</v>
      </c>
      <c r="V57" s="129">
        <v>0.98</v>
      </c>
      <c r="W57" s="25"/>
    </row>
    <row r="58" spans="1:23" ht="15.75" x14ac:dyDescent="0.25">
      <c r="A58" s="126">
        <v>48</v>
      </c>
      <c r="B58" s="116" t="s">
        <v>307</v>
      </c>
      <c r="C58" s="138" t="s">
        <v>190</v>
      </c>
      <c r="D58" s="138" t="s">
        <v>124</v>
      </c>
      <c r="E58" s="135">
        <v>141.30000000000001</v>
      </c>
      <c r="F58" s="136">
        <f t="shared" ref="F58" si="349">E57</f>
        <v>139</v>
      </c>
      <c r="G58" s="138">
        <f t="shared" ref="G58" si="350">E58-F58</f>
        <v>2.3000000000000114</v>
      </c>
      <c r="H58" s="91">
        <v>1</v>
      </c>
      <c r="I58" s="138">
        <f t="shared" ref="I58" si="351">G58*H58</f>
        <v>2.3000000000000114</v>
      </c>
      <c r="J58" s="135">
        <v>10316.1</v>
      </c>
      <c r="K58" s="136">
        <f t="shared" ref="K58" si="352">J57</f>
        <v>10316.1</v>
      </c>
      <c r="L58" s="138">
        <f t="shared" ref="L58" si="353">J58-K58</f>
        <v>0</v>
      </c>
      <c r="M58" s="136">
        <f t="shared" si="87"/>
        <v>1</v>
      </c>
      <c r="N58" s="138">
        <f t="shared" ref="N58" si="354">L58*M58</f>
        <v>0</v>
      </c>
      <c r="O58" s="136">
        <f t="shared" ref="O58" si="355">N58-I58</f>
        <v>-2.3000000000000114</v>
      </c>
      <c r="P58" s="135">
        <v>10424.4</v>
      </c>
      <c r="Q58" s="136">
        <f t="shared" ref="Q58" si="356">P57</f>
        <v>10423.6</v>
      </c>
      <c r="R58" s="138">
        <f t="shared" ref="R58" si="357">P58-Q58</f>
        <v>0.7999999999992724</v>
      </c>
      <c r="S58" s="136">
        <f>S55</f>
        <v>1</v>
      </c>
      <c r="T58" s="138">
        <f t="shared" ref="T58" si="358">R58*S58</f>
        <v>0.7999999999992724</v>
      </c>
      <c r="U58" s="138">
        <v>0.14399999999999999</v>
      </c>
      <c r="V58" s="138">
        <v>0.99</v>
      </c>
      <c r="W58" s="25"/>
    </row>
    <row r="59" spans="1:23" ht="15.75" x14ac:dyDescent="0.25">
      <c r="A59" s="135">
        <v>49</v>
      </c>
      <c r="B59" s="116" t="s">
        <v>309</v>
      </c>
      <c r="C59" s="138" t="s">
        <v>190</v>
      </c>
      <c r="D59" s="138" t="s">
        <v>124</v>
      </c>
      <c r="E59" s="135">
        <v>146.9</v>
      </c>
      <c r="F59" s="136">
        <f t="shared" ref="F59" si="359">E58</f>
        <v>141.30000000000001</v>
      </c>
      <c r="G59" s="138">
        <f t="shared" ref="G59:G62" si="360">E59-F59</f>
        <v>5.5999999999999943</v>
      </c>
      <c r="H59" s="91">
        <v>1</v>
      </c>
      <c r="I59" s="138">
        <f t="shared" ref="I59:I62" si="361">G59*H59</f>
        <v>5.5999999999999943</v>
      </c>
      <c r="J59" s="135">
        <v>10376.799999999999</v>
      </c>
      <c r="K59" s="136">
        <f t="shared" ref="K59" si="362">J58</f>
        <v>10316.1</v>
      </c>
      <c r="L59" s="138">
        <f t="shared" ref="L59:L62" si="363">J59-K59</f>
        <v>60.699999999998909</v>
      </c>
      <c r="M59" s="136">
        <f t="shared" si="87"/>
        <v>1</v>
      </c>
      <c r="N59" s="138">
        <f t="shared" ref="N59:N62" si="364">L59*M59</f>
        <v>60.699999999998909</v>
      </c>
      <c r="O59" s="136">
        <f t="shared" ref="O59:O62" si="365">N59-I59</f>
        <v>55.099999999998914</v>
      </c>
      <c r="P59" s="135">
        <v>10485.700000000001</v>
      </c>
      <c r="Q59" s="136">
        <f t="shared" ref="Q59" si="366">P58</f>
        <v>10424.4</v>
      </c>
      <c r="R59" s="138">
        <f t="shared" ref="R59:R62" si="367">P59-Q59</f>
        <v>61.300000000001091</v>
      </c>
      <c r="S59" s="136">
        <f t="shared" si="99"/>
        <v>1</v>
      </c>
      <c r="T59" s="138">
        <f t="shared" ref="T59:T62" si="368">R59*S59</f>
        <v>61.300000000001091</v>
      </c>
      <c r="U59" s="138">
        <v>0.14799999999999999</v>
      </c>
      <c r="V59" s="138">
        <v>0.99</v>
      </c>
      <c r="W59" s="25"/>
    </row>
    <row r="60" spans="1:23" ht="15.75" x14ac:dyDescent="0.25">
      <c r="A60" s="146">
        <v>50</v>
      </c>
      <c r="B60" s="116" t="s">
        <v>310</v>
      </c>
      <c r="C60" s="144" t="s">
        <v>190</v>
      </c>
      <c r="D60" s="144" t="s">
        <v>124</v>
      </c>
      <c r="E60" s="146">
        <v>148.80000000000001</v>
      </c>
      <c r="F60" s="145">
        <f t="shared" ref="F60" si="369">E58</f>
        <v>141.30000000000001</v>
      </c>
      <c r="G60" s="144">
        <f t="shared" si="360"/>
        <v>7.5</v>
      </c>
      <c r="H60" s="91">
        <v>1</v>
      </c>
      <c r="I60" s="144">
        <f t="shared" si="361"/>
        <v>7.5</v>
      </c>
      <c r="J60" s="146">
        <v>10376.799999999999</v>
      </c>
      <c r="K60" s="145">
        <f t="shared" ref="K60" si="370">J58</f>
        <v>10316.1</v>
      </c>
      <c r="L60" s="144">
        <f t="shared" si="363"/>
        <v>60.699999999998909</v>
      </c>
      <c r="M60" s="145">
        <f>M58</f>
        <v>1</v>
      </c>
      <c r="N60" s="144">
        <f t="shared" si="364"/>
        <v>60.699999999998909</v>
      </c>
      <c r="O60" s="145">
        <f t="shared" si="365"/>
        <v>53.199999999998909</v>
      </c>
      <c r="P60" s="146">
        <v>10486.3</v>
      </c>
      <c r="Q60" s="145">
        <f t="shared" ref="Q60" si="371">P58</f>
        <v>10424.4</v>
      </c>
      <c r="R60" s="144">
        <f t="shared" si="367"/>
        <v>61.899999999999636</v>
      </c>
      <c r="S60" s="145">
        <f>S57</f>
        <v>1</v>
      </c>
      <c r="T60" s="144">
        <f t="shared" si="368"/>
        <v>61.899999999999636</v>
      </c>
      <c r="U60" s="144">
        <v>1.74</v>
      </c>
      <c r="V60" s="144">
        <v>0.95</v>
      </c>
      <c r="W60" s="25"/>
    </row>
    <row r="61" spans="1:23" ht="15.75" x14ac:dyDescent="0.25">
      <c r="A61" s="151">
        <v>51</v>
      </c>
      <c r="B61" s="116" t="s">
        <v>310</v>
      </c>
      <c r="C61" s="149" t="s">
        <v>190</v>
      </c>
      <c r="D61" s="149" t="s">
        <v>124</v>
      </c>
      <c r="E61" s="151">
        <v>150.19999999999999</v>
      </c>
      <c r="F61" s="150">
        <v>148.80000000000001</v>
      </c>
      <c r="G61" s="149">
        <f t="shared" si="360"/>
        <v>1.3999999999999773</v>
      </c>
      <c r="H61" s="91">
        <v>1</v>
      </c>
      <c r="I61" s="149">
        <f t="shared" si="361"/>
        <v>1.3999999999999773</v>
      </c>
      <c r="J61" s="151">
        <v>10376.799999999999</v>
      </c>
      <c r="K61" s="150">
        <f t="shared" ref="K61" si="372">J58</f>
        <v>10316.1</v>
      </c>
      <c r="L61" s="149">
        <f t="shared" si="363"/>
        <v>60.699999999998909</v>
      </c>
      <c r="M61" s="150">
        <f>M58</f>
        <v>1</v>
      </c>
      <c r="N61" s="149">
        <f t="shared" si="364"/>
        <v>60.699999999998909</v>
      </c>
      <c r="O61" s="150">
        <f t="shared" si="365"/>
        <v>59.299999999998931</v>
      </c>
      <c r="P61" s="151">
        <v>10486.9</v>
      </c>
      <c r="Q61" s="150">
        <f t="shared" ref="Q61" si="373">P58</f>
        <v>10424.4</v>
      </c>
      <c r="R61" s="149">
        <f t="shared" si="367"/>
        <v>62.5</v>
      </c>
      <c r="S61" s="150">
        <f>S57</f>
        <v>1</v>
      </c>
      <c r="T61" s="149">
        <f t="shared" si="368"/>
        <v>62.5</v>
      </c>
      <c r="U61" s="149">
        <v>0.28999999999999998</v>
      </c>
      <c r="V61" s="149">
        <v>0.98</v>
      </c>
      <c r="W61" s="25"/>
    </row>
    <row r="62" spans="1:23" ht="15.75" x14ac:dyDescent="0.25">
      <c r="A62" s="155">
        <v>52</v>
      </c>
      <c r="B62" s="116" t="s">
        <v>310</v>
      </c>
      <c r="C62" s="149" t="s">
        <v>190</v>
      </c>
      <c r="D62" s="149" t="s">
        <v>124</v>
      </c>
      <c r="E62" s="151">
        <v>150.19999999999999</v>
      </c>
      <c r="F62" s="150">
        <v>148.80000000000001</v>
      </c>
      <c r="G62" s="149">
        <f t="shared" si="360"/>
        <v>1.3999999999999773</v>
      </c>
      <c r="H62" s="91">
        <v>1</v>
      </c>
      <c r="I62" s="149">
        <f t="shared" si="361"/>
        <v>1.3999999999999773</v>
      </c>
      <c r="J62" s="151">
        <v>10376.799999999999</v>
      </c>
      <c r="K62" s="150">
        <f t="shared" ref="K62" si="374">J58</f>
        <v>10316.1</v>
      </c>
      <c r="L62" s="149">
        <f t="shared" si="363"/>
        <v>60.699999999998909</v>
      </c>
      <c r="M62" s="150">
        <f>M58</f>
        <v>1</v>
      </c>
      <c r="N62" s="149">
        <f t="shared" si="364"/>
        <v>60.699999999998909</v>
      </c>
      <c r="O62" s="150">
        <f t="shared" si="365"/>
        <v>59.299999999998931</v>
      </c>
      <c r="P62" s="151">
        <v>10486.9</v>
      </c>
      <c r="Q62" s="150">
        <f t="shared" ref="Q62" si="375">P58</f>
        <v>10424.4</v>
      </c>
      <c r="R62" s="149">
        <f t="shared" si="367"/>
        <v>62.5</v>
      </c>
      <c r="S62" s="150">
        <f>S57</f>
        <v>1</v>
      </c>
      <c r="T62" s="149">
        <f t="shared" si="368"/>
        <v>62.5</v>
      </c>
      <c r="U62" s="149">
        <v>0.28999999999999998</v>
      </c>
      <c r="V62" s="149">
        <v>0.98</v>
      </c>
      <c r="W62" s="25"/>
    </row>
    <row r="63" spans="1:23" ht="15.75" x14ac:dyDescent="0.25">
      <c r="A63" s="155">
        <v>53</v>
      </c>
      <c r="B63" s="116" t="s">
        <v>319</v>
      </c>
      <c r="C63" s="142" t="s">
        <v>190</v>
      </c>
      <c r="D63" s="142" t="s">
        <v>124</v>
      </c>
      <c r="E63" s="139">
        <v>153</v>
      </c>
      <c r="F63" s="140">
        <v>152</v>
      </c>
      <c r="G63" s="142">
        <f t="shared" ref="G63:G65" si="376">E63-F63</f>
        <v>1</v>
      </c>
      <c r="H63" s="91">
        <v>1</v>
      </c>
      <c r="I63" s="142">
        <f t="shared" ref="I63:I65" si="377">G63*H63</f>
        <v>1</v>
      </c>
      <c r="J63" s="139">
        <v>10479</v>
      </c>
      <c r="K63" s="140">
        <v>10360</v>
      </c>
      <c r="L63" s="142">
        <f t="shared" ref="L63:L65" si="378">J63-K63</f>
        <v>119</v>
      </c>
      <c r="M63" s="140">
        <f>M59</f>
        <v>1</v>
      </c>
      <c r="N63" s="142">
        <f t="shared" ref="N63:N65" si="379">L63*M63</f>
        <v>119</v>
      </c>
      <c r="O63" s="140">
        <f t="shared" ref="O63:O65" si="380">N63-I63</f>
        <v>118</v>
      </c>
      <c r="P63" s="139">
        <v>10590</v>
      </c>
      <c r="Q63" s="140">
        <v>10487</v>
      </c>
      <c r="R63" s="142">
        <f t="shared" ref="R63:R65" si="381">P63-Q63</f>
        <v>103</v>
      </c>
      <c r="S63" s="140">
        <f>S58</f>
        <v>1</v>
      </c>
      <c r="T63" s="142">
        <f t="shared" ref="T63:T65" si="382">R63*S63</f>
        <v>103</v>
      </c>
      <c r="U63" s="142">
        <v>0.28999999999999998</v>
      </c>
      <c r="V63" s="142">
        <v>0.98</v>
      </c>
      <c r="W63" s="25"/>
    </row>
    <row r="64" spans="1:23" ht="15.75" x14ac:dyDescent="0.25">
      <c r="A64" s="170">
        <v>54</v>
      </c>
      <c r="B64" s="116" t="s">
        <v>321</v>
      </c>
      <c r="C64" s="168" t="s">
        <v>190</v>
      </c>
      <c r="D64" s="168" t="s">
        <v>124</v>
      </c>
      <c r="E64" s="170">
        <v>154</v>
      </c>
      <c r="F64" s="170">
        <v>153</v>
      </c>
      <c r="G64" s="168">
        <f t="shared" si="376"/>
        <v>1</v>
      </c>
      <c r="H64" s="91">
        <v>1</v>
      </c>
      <c r="I64" s="168">
        <f t="shared" si="377"/>
        <v>1</v>
      </c>
      <c r="J64" s="170">
        <v>10816.4</v>
      </c>
      <c r="K64" s="170">
        <v>10479</v>
      </c>
      <c r="L64" s="168">
        <f t="shared" si="378"/>
        <v>337.39999999999964</v>
      </c>
      <c r="M64" s="169">
        <f>M59</f>
        <v>1</v>
      </c>
      <c r="N64" s="168">
        <f t="shared" si="379"/>
        <v>337.39999999999964</v>
      </c>
      <c r="O64" s="169">
        <f t="shared" si="380"/>
        <v>336.39999999999964</v>
      </c>
      <c r="P64" s="170">
        <v>10944.4</v>
      </c>
      <c r="Q64" s="170">
        <v>10590</v>
      </c>
      <c r="R64" s="168">
        <f t="shared" si="381"/>
        <v>354.39999999999964</v>
      </c>
      <c r="S64" s="169">
        <f>S58</f>
        <v>1</v>
      </c>
      <c r="T64" s="168">
        <f t="shared" si="382"/>
        <v>354.39999999999964</v>
      </c>
      <c r="U64" s="168">
        <v>1.47</v>
      </c>
      <c r="V64" s="168">
        <v>0.97</v>
      </c>
      <c r="W64" s="25"/>
    </row>
    <row r="65" spans="1:23" ht="15.75" x14ac:dyDescent="0.25">
      <c r="A65" s="175">
        <v>55</v>
      </c>
      <c r="B65" s="116" t="s">
        <v>327</v>
      </c>
      <c r="C65" s="178" t="s">
        <v>190</v>
      </c>
      <c r="D65" s="178" t="s">
        <v>124</v>
      </c>
      <c r="E65" s="175">
        <v>154</v>
      </c>
      <c r="F65" s="175">
        <v>154</v>
      </c>
      <c r="G65" s="178">
        <f t="shared" si="376"/>
        <v>0</v>
      </c>
      <c r="H65" s="91">
        <v>1</v>
      </c>
      <c r="I65" s="178">
        <f t="shared" si="377"/>
        <v>0</v>
      </c>
      <c r="J65" s="175">
        <v>11125.5</v>
      </c>
      <c r="K65" s="175">
        <v>10816.4</v>
      </c>
      <c r="L65" s="178">
        <f t="shared" si="378"/>
        <v>309.10000000000036</v>
      </c>
      <c r="M65" s="176">
        <f>M59</f>
        <v>1</v>
      </c>
      <c r="N65" s="178">
        <f t="shared" si="379"/>
        <v>309.10000000000036</v>
      </c>
      <c r="O65" s="176">
        <f t="shared" si="380"/>
        <v>309.10000000000036</v>
      </c>
      <c r="P65" s="175">
        <v>11241.7</v>
      </c>
      <c r="Q65" s="175">
        <v>10944</v>
      </c>
      <c r="R65" s="178">
        <f t="shared" si="381"/>
        <v>297.70000000000073</v>
      </c>
      <c r="S65" s="176">
        <f>S58</f>
        <v>1</v>
      </c>
      <c r="T65" s="178">
        <f t="shared" si="382"/>
        <v>297.70000000000073</v>
      </c>
      <c r="U65" s="178">
        <v>1.48</v>
      </c>
      <c r="V65" s="178">
        <v>0.97</v>
      </c>
      <c r="W65" s="25"/>
    </row>
    <row r="66" spans="1:23" ht="15.75" x14ac:dyDescent="0.25">
      <c r="A66" s="155">
        <v>56</v>
      </c>
      <c r="B66" s="116" t="s">
        <v>330</v>
      </c>
      <c r="C66" s="158" t="s">
        <v>190</v>
      </c>
      <c r="D66" s="158" t="s">
        <v>124</v>
      </c>
      <c r="E66" s="155">
        <v>154.5</v>
      </c>
      <c r="F66" s="175">
        <v>154</v>
      </c>
      <c r="G66" s="158">
        <f t="shared" ref="G66:G67" si="383">E66-F66</f>
        <v>0.5</v>
      </c>
      <c r="H66" s="91">
        <v>1</v>
      </c>
      <c r="I66" s="158">
        <f t="shared" ref="I66:I67" si="384">G66*H66</f>
        <v>0.5</v>
      </c>
      <c r="J66" s="155">
        <v>11407.9</v>
      </c>
      <c r="K66" s="175">
        <v>11125.5</v>
      </c>
      <c r="L66" s="158">
        <f t="shared" ref="L66:L67" si="385">J66-K66</f>
        <v>282.39999999999964</v>
      </c>
      <c r="M66" s="156">
        <f>M60</f>
        <v>1</v>
      </c>
      <c r="N66" s="158">
        <f t="shared" ref="N66:N67" si="386">L66*M66</f>
        <v>282.39999999999964</v>
      </c>
      <c r="O66" s="156">
        <f t="shared" ref="O66:O67" si="387">N66-I66</f>
        <v>281.89999999999964</v>
      </c>
      <c r="P66" s="155">
        <v>11524</v>
      </c>
      <c r="Q66" s="175">
        <v>11241.7</v>
      </c>
      <c r="R66" s="158">
        <f t="shared" ref="R66:R67" si="388">P66-Q66</f>
        <v>282.29999999999927</v>
      </c>
      <c r="S66" s="156">
        <f>S59</f>
        <v>1</v>
      </c>
      <c r="T66" s="158">
        <f t="shared" ref="T66:T67" si="389">R66*S66</f>
        <v>282.29999999999927</v>
      </c>
      <c r="U66" s="158">
        <v>1.74</v>
      </c>
      <c r="V66" s="158">
        <v>0.99</v>
      </c>
      <c r="W66" s="25"/>
    </row>
    <row r="67" spans="1:23" ht="15.75" x14ac:dyDescent="0.25">
      <c r="A67" s="183">
        <v>57</v>
      </c>
      <c r="B67" s="116" t="s">
        <v>331</v>
      </c>
      <c r="C67" s="186" t="s">
        <v>190</v>
      </c>
      <c r="D67" s="186" t="s">
        <v>124</v>
      </c>
      <c r="E67" s="183">
        <v>156.30000000000001</v>
      </c>
      <c r="F67" s="183">
        <v>154.5</v>
      </c>
      <c r="G67" s="186">
        <f t="shared" si="383"/>
        <v>1.8000000000000114</v>
      </c>
      <c r="H67" s="91">
        <v>1</v>
      </c>
      <c r="I67" s="186">
        <f t="shared" si="384"/>
        <v>1.8000000000000114</v>
      </c>
      <c r="J67" s="183">
        <v>11716.7</v>
      </c>
      <c r="K67" s="183">
        <v>11407.9</v>
      </c>
      <c r="L67" s="186">
        <f t="shared" si="385"/>
        <v>308.80000000000109</v>
      </c>
      <c r="M67" s="184">
        <f>M60</f>
        <v>1</v>
      </c>
      <c r="N67" s="186">
        <f t="shared" si="386"/>
        <v>308.80000000000109</v>
      </c>
      <c r="O67" s="184">
        <f t="shared" si="387"/>
        <v>307.00000000000108</v>
      </c>
      <c r="P67" s="183">
        <v>11835.6</v>
      </c>
      <c r="Q67" s="183">
        <v>11524</v>
      </c>
      <c r="R67" s="186">
        <f t="shared" si="388"/>
        <v>311.60000000000036</v>
      </c>
      <c r="S67" s="184">
        <f>S59</f>
        <v>1</v>
      </c>
      <c r="T67" s="186">
        <f t="shared" si="389"/>
        <v>311.60000000000036</v>
      </c>
      <c r="U67" s="186">
        <v>1.47</v>
      </c>
      <c r="V67" s="186">
        <v>0.99</v>
      </c>
      <c r="W67" s="25"/>
    </row>
    <row r="68" spans="1:23" ht="15.75" x14ac:dyDescent="0.25">
      <c r="A68" s="182">
        <v>58</v>
      </c>
      <c r="B68" s="116" t="s">
        <v>332</v>
      </c>
      <c r="C68" s="180" t="s">
        <v>190</v>
      </c>
      <c r="D68" s="180" t="s">
        <v>124</v>
      </c>
      <c r="E68" s="182">
        <v>157.30000000000001</v>
      </c>
      <c r="F68" s="182">
        <v>156.30000000000001</v>
      </c>
      <c r="G68" s="180">
        <f t="shared" ref="G68" si="390">E68-F68</f>
        <v>1</v>
      </c>
      <c r="H68" s="91">
        <v>1</v>
      </c>
      <c r="I68" s="180">
        <f t="shared" ref="I68" si="391">G68*H68</f>
        <v>1</v>
      </c>
      <c r="J68" s="182">
        <v>11890</v>
      </c>
      <c r="K68" s="182">
        <v>11716.7</v>
      </c>
      <c r="L68" s="180">
        <f t="shared" ref="L68" si="392">J68-K68</f>
        <v>173.29999999999927</v>
      </c>
      <c r="M68" s="181">
        <f>M61</f>
        <v>1</v>
      </c>
      <c r="N68" s="180">
        <f t="shared" ref="N68" si="393">L68*M68</f>
        <v>173.29999999999927</v>
      </c>
      <c r="O68" s="181">
        <f t="shared" ref="O68" si="394">N68-I68</f>
        <v>172.29999999999927</v>
      </c>
      <c r="P68" s="182">
        <v>11995</v>
      </c>
      <c r="Q68" s="182">
        <v>11836</v>
      </c>
      <c r="R68" s="180">
        <f t="shared" ref="R68" si="395">P68-Q68</f>
        <v>159</v>
      </c>
      <c r="S68" s="181">
        <f>S60</f>
        <v>1</v>
      </c>
      <c r="T68" s="180">
        <f t="shared" ref="T68" si="396">R68*S68</f>
        <v>159</v>
      </c>
      <c r="U68" s="180">
        <v>1.47</v>
      </c>
      <c r="V68" s="180">
        <v>0.99</v>
      </c>
      <c r="W68" s="25"/>
    </row>
    <row r="69" spans="1:23" s="3" customFormat="1" ht="15.75" x14ac:dyDescent="0.25">
      <c r="A69" s="164"/>
      <c r="B69" s="22"/>
      <c r="C69" s="164"/>
      <c r="D69" s="164"/>
      <c r="E69" s="164"/>
      <c r="F69" s="162"/>
      <c r="G69" s="164"/>
      <c r="H69" s="162" t="s">
        <v>121</v>
      </c>
      <c r="I69" s="164">
        <f>SUM(I57:I66)</f>
        <v>22.19999999999996</v>
      </c>
      <c r="J69" s="164"/>
      <c r="K69" s="162"/>
      <c r="L69" s="164"/>
      <c r="M69" s="162"/>
      <c r="N69" s="164">
        <f>SUM(N57:N66)</f>
        <v>1290.6999999999953</v>
      </c>
      <c r="O69" s="164">
        <f>SUM(O57:O66)</f>
        <v>1268.4999999999955</v>
      </c>
      <c r="P69" s="164"/>
      <c r="Q69" s="162"/>
      <c r="R69" s="164"/>
      <c r="S69" s="162"/>
      <c r="T69" s="164">
        <f>SUM(T57:T66)</f>
        <v>1286.8999999999996</v>
      </c>
      <c r="U69" s="164"/>
      <c r="V69" s="164"/>
      <c r="W69" s="31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38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38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24"/>
      <c r="V71" s="24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38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24"/>
      <c r="V72" s="24"/>
      <c r="W72" s="25"/>
    </row>
    <row r="73" spans="1:23" ht="15.75" x14ac:dyDescent="0.25">
      <c r="A73" s="37"/>
      <c r="B73" s="78"/>
      <c r="C73" s="24"/>
      <c r="D73" s="24"/>
      <c r="E73" s="37"/>
      <c r="F73" s="38"/>
      <c r="G73" s="24"/>
      <c r="H73" s="38"/>
      <c r="I73" s="24"/>
      <c r="J73" s="37"/>
      <c r="K73" s="38"/>
      <c r="L73" s="24"/>
      <c r="M73" s="38"/>
      <c r="N73" s="24"/>
      <c r="O73" s="38"/>
      <c r="P73" s="37"/>
      <c r="Q73" s="38"/>
      <c r="R73" s="24"/>
      <c r="S73" s="38"/>
      <c r="T73" s="24"/>
      <c r="U73" s="24"/>
      <c r="V73" s="24"/>
      <c r="W73" s="25"/>
    </row>
    <row r="74" spans="1:23" ht="15.75" x14ac:dyDescent="0.25">
      <c r="A74" s="37"/>
      <c r="B74" s="78"/>
      <c r="C74" s="24"/>
      <c r="D74" s="24"/>
      <c r="E74" s="37"/>
      <c r="F74" s="38"/>
      <c r="G74" s="24"/>
      <c r="H74" s="38"/>
      <c r="I74" s="24"/>
      <c r="J74" s="37"/>
      <c r="K74" s="38"/>
      <c r="L74" s="24"/>
      <c r="M74" s="38"/>
      <c r="N74" s="24"/>
      <c r="O74" s="38"/>
      <c r="P74" s="37"/>
      <c r="Q74" s="38"/>
      <c r="R74" s="24"/>
      <c r="S74" s="38"/>
      <c r="T74" s="24"/>
      <c r="U74" s="24"/>
      <c r="V74" s="24"/>
      <c r="W74" s="25"/>
    </row>
    <row r="75" spans="1:23" ht="15.75" x14ac:dyDescent="0.25">
      <c r="A75" s="37"/>
      <c r="B75" s="78"/>
      <c r="C75" s="24"/>
      <c r="D75" s="24"/>
      <c r="E75" s="37"/>
      <c r="F75" s="38"/>
      <c r="G75" s="24"/>
      <c r="H75" s="38"/>
      <c r="I75" s="24"/>
      <c r="J75" s="37"/>
      <c r="K75" s="38"/>
      <c r="L75" s="24"/>
      <c r="M75" s="38"/>
      <c r="N75" s="24"/>
      <c r="O75" s="38"/>
      <c r="P75" s="37"/>
      <c r="Q75" s="38"/>
      <c r="R75" s="24"/>
      <c r="S75" s="38"/>
      <c r="T75" s="24"/>
      <c r="U75" s="24"/>
      <c r="V75" s="24"/>
      <c r="W75" s="25"/>
    </row>
    <row r="76" spans="1:23" ht="15.75" x14ac:dyDescent="0.25">
      <c r="A76" s="37"/>
      <c r="B76" s="78"/>
      <c r="C76" s="24"/>
      <c r="D76" s="24"/>
      <c r="E76" s="37"/>
      <c r="F76" s="38"/>
      <c r="G76" s="24"/>
      <c r="H76" s="38"/>
      <c r="I76" s="24"/>
      <c r="J76" s="37"/>
      <c r="K76" s="38"/>
      <c r="L76" s="24"/>
      <c r="M76" s="38"/>
      <c r="N76" s="24"/>
      <c r="O76" s="38"/>
      <c r="P76" s="37"/>
      <c r="Q76" s="38"/>
      <c r="R76" s="24"/>
      <c r="S76" s="38"/>
      <c r="T76" s="24"/>
      <c r="U76" s="24"/>
      <c r="V76" s="24"/>
      <c r="W76" s="25"/>
    </row>
    <row r="77" spans="1:23" ht="15.75" x14ac:dyDescent="0.25">
      <c r="A77" s="37"/>
      <c r="B77" s="78"/>
      <c r="C77" s="24"/>
      <c r="D77" s="24"/>
      <c r="E77" s="37"/>
      <c r="F77" s="38"/>
      <c r="G77" s="24"/>
      <c r="H77" s="38"/>
      <c r="I77" s="24"/>
      <c r="J77" s="37"/>
      <c r="K77" s="38"/>
      <c r="L77" s="24"/>
      <c r="M77" s="38"/>
      <c r="N77" s="24"/>
      <c r="O77" s="38"/>
      <c r="P77" s="37"/>
      <c r="Q77" s="38"/>
      <c r="R77" s="24"/>
      <c r="S77" s="38"/>
      <c r="T77" s="24"/>
      <c r="U77" s="24"/>
      <c r="V77" s="24"/>
      <c r="W77" s="25"/>
    </row>
    <row r="78" spans="1:23" ht="15.75" x14ac:dyDescent="0.25">
      <c r="A78" s="37"/>
      <c r="B78" s="78"/>
      <c r="C78" s="24"/>
      <c r="D78" s="24"/>
      <c r="E78" s="37">
        <f>E33-E29</f>
        <v>3.4000000000000057</v>
      </c>
      <c r="F78" s="38">
        <f>E78/3</f>
        <v>1.1333333333333353</v>
      </c>
      <c r="G78" s="24"/>
      <c r="H78" s="38"/>
      <c r="I78" s="24"/>
      <c r="J78" s="37">
        <f>J33-J29</f>
        <v>900</v>
      </c>
      <c r="K78" s="38">
        <f>J78/3</f>
        <v>300</v>
      </c>
      <c r="L78" s="24"/>
      <c r="M78" s="38"/>
      <c r="N78" s="24"/>
      <c r="O78" s="38"/>
      <c r="P78" s="37">
        <f>P33-P29</f>
        <v>901.5</v>
      </c>
      <c r="Q78" s="38">
        <f>P78/3</f>
        <v>300.5</v>
      </c>
      <c r="R78" s="24"/>
      <c r="S78" s="38"/>
      <c r="T78" s="24"/>
      <c r="U78" s="24"/>
      <c r="V78" s="24"/>
      <c r="W78" s="25"/>
    </row>
    <row r="79" spans="1:23" ht="15.75" x14ac:dyDescent="0.25">
      <c r="A79" s="37"/>
      <c r="B79" s="78"/>
      <c r="C79" s="24"/>
      <c r="D79" s="24"/>
      <c r="E79" s="37"/>
      <c r="F79" s="38"/>
      <c r="G79" s="24"/>
      <c r="H79" s="38"/>
      <c r="I79" s="24"/>
      <c r="J79" s="37"/>
      <c r="K79" s="38"/>
      <c r="L79" s="24"/>
      <c r="M79" s="38"/>
      <c r="N79" s="24"/>
      <c r="O79" s="38"/>
      <c r="P79" s="37"/>
      <c r="Q79" s="38"/>
      <c r="R79" s="24"/>
      <c r="S79" s="38"/>
      <c r="T79" s="24"/>
      <c r="U79" s="24"/>
      <c r="V79" s="24"/>
      <c r="W79" s="25"/>
    </row>
    <row r="80" spans="1:23" ht="15.75" x14ac:dyDescent="0.25">
      <c r="A80" s="37"/>
      <c r="B80" s="78"/>
      <c r="C80" s="24"/>
      <c r="D80" s="24"/>
      <c r="E80" s="37"/>
      <c r="F80" s="38"/>
      <c r="G80" s="24"/>
      <c r="H80" s="38"/>
      <c r="I80" s="24"/>
      <c r="J80" s="37"/>
      <c r="K80" s="38"/>
      <c r="L80" s="24"/>
      <c r="M80" s="38"/>
      <c r="N80" s="24"/>
      <c r="O80" s="38"/>
      <c r="P80" s="37"/>
      <c r="Q80" s="38"/>
      <c r="R80" s="24"/>
      <c r="S80" s="38"/>
      <c r="T80" s="24"/>
      <c r="U80" s="24"/>
      <c r="V80" s="24"/>
      <c r="W80" s="25"/>
    </row>
    <row r="81" spans="1:23" ht="15.75" x14ac:dyDescent="0.25">
      <c r="A81" s="31">
        <v>1</v>
      </c>
      <c r="B81" s="31" t="s">
        <v>23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37"/>
      <c r="Q81" s="38"/>
      <c r="R81" s="24"/>
      <c r="S81" s="38"/>
      <c r="T81" s="24"/>
      <c r="U81" s="25"/>
      <c r="V81" s="25"/>
      <c r="W81" s="25"/>
    </row>
    <row r="82" spans="1:23" ht="15.75" x14ac:dyDescent="0.25">
      <c r="A82" s="31">
        <v>2</v>
      </c>
      <c r="B82" s="31" t="s">
        <v>24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37"/>
      <c r="Q82" s="38"/>
      <c r="R82" s="24"/>
      <c r="S82" s="38"/>
      <c r="T82" s="24"/>
      <c r="U82" s="25"/>
      <c r="V82" s="25"/>
      <c r="W82" s="25"/>
    </row>
    <row r="83" spans="1:23" ht="15.75" x14ac:dyDescent="0.25">
      <c r="A83" s="31">
        <v>3</v>
      </c>
      <c r="B83" s="31" t="s">
        <v>25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37"/>
      <c r="Q83" s="38"/>
      <c r="R83" s="24"/>
      <c r="S83" s="38"/>
      <c r="T83" s="24"/>
      <c r="U83" s="25"/>
      <c r="V83" s="25"/>
      <c r="W83" s="25"/>
    </row>
    <row r="86" spans="1:23" x14ac:dyDescent="0.25">
      <c r="R86" t="s">
        <v>65</v>
      </c>
    </row>
  </sheetData>
  <mergeCells count="20">
    <mergeCell ref="A1:V1"/>
    <mergeCell ref="A2:V2"/>
    <mergeCell ref="B3:C3"/>
    <mergeCell ref="E3:I3"/>
    <mergeCell ref="J3:L3"/>
    <mergeCell ref="M3:N3"/>
    <mergeCell ref="O3:U3"/>
    <mergeCell ref="A5:A6"/>
    <mergeCell ref="B5:B6"/>
    <mergeCell ref="C5:C6"/>
    <mergeCell ref="D5:D6"/>
    <mergeCell ref="E5:I5"/>
    <mergeCell ref="J5:N5"/>
    <mergeCell ref="O5:O6"/>
    <mergeCell ref="P5:T5"/>
    <mergeCell ref="B4:C4"/>
    <mergeCell ref="E4:I4"/>
    <mergeCell ref="J4:L4"/>
    <mergeCell ref="M4:N4"/>
    <mergeCell ref="O4:U4"/>
  </mergeCells>
  <printOptions horizontalCentered="1"/>
  <pageMargins left="0" right="0" top="0.75" bottom="0.75" header="0.3" footer="0.3"/>
  <pageSetup paperSize="9" scale="6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79"/>
  <sheetViews>
    <sheetView topLeftCell="A55" zoomScale="85" zoomScaleNormal="85" zoomScaleSheetLayoutView="70" workbookViewId="0">
      <selection activeCell="M74" sqref="M74"/>
    </sheetView>
  </sheetViews>
  <sheetFormatPr defaultRowHeight="15" x14ac:dyDescent="0.25"/>
  <cols>
    <col min="1" max="1" width="7.5703125" customWidth="1"/>
    <col min="2" max="2" width="13" customWidth="1"/>
    <col min="3" max="3" width="13.28515625" customWidth="1"/>
    <col min="4" max="4" width="12.7109375" customWidth="1"/>
    <col min="5" max="6" width="9.5703125" customWidth="1"/>
    <col min="7" max="7" width="7.42578125" customWidth="1"/>
    <col min="8" max="8" width="9.5703125" customWidth="1"/>
    <col min="9" max="9" width="10.85546875" customWidth="1"/>
    <col min="10" max="10" width="9.28515625" customWidth="1"/>
    <col min="11" max="11" width="9.7109375" customWidth="1"/>
    <col min="12" max="12" width="7.7109375" customWidth="1"/>
    <col min="13" max="13" width="9.140625" customWidth="1"/>
    <col min="14" max="14" width="13.28515625" customWidth="1"/>
    <col min="15" max="15" width="13.140625" customWidth="1"/>
    <col min="16" max="17" width="8.5703125" customWidth="1"/>
    <col min="18" max="18" width="7.7109375" customWidth="1"/>
    <col min="19" max="19" width="9.140625" customWidth="1"/>
    <col min="20" max="20" width="13.28515625" customWidth="1"/>
    <col min="21" max="21" width="9.42578125" customWidth="1"/>
    <col min="22" max="22" width="11.85546875" customWidth="1"/>
  </cols>
  <sheetData>
    <row r="1" spans="1:23" ht="15.75" x14ac:dyDescent="0.25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5"/>
    </row>
    <row r="2" spans="1:23" ht="15.75" x14ac:dyDescent="0.25">
      <c r="A2" s="208" t="s">
        <v>191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5"/>
    </row>
    <row r="3" spans="1:23" ht="33.75" customHeight="1" x14ac:dyDescent="0.25">
      <c r="A3" s="12" t="s">
        <v>5</v>
      </c>
      <c r="B3" s="207" t="s">
        <v>192</v>
      </c>
      <c r="C3" s="207"/>
      <c r="D3" s="12" t="s">
        <v>6</v>
      </c>
      <c r="E3" s="201" t="s">
        <v>193</v>
      </c>
      <c r="F3" s="201"/>
      <c r="G3" s="201"/>
      <c r="H3" s="201"/>
      <c r="I3" s="201"/>
      <c r="J3" s="201" t="s">
        <v>7</v>
      </c>
      <c r="K3" s="201"/>
      <c r="L3" s="201"/>
      <c r="M3" s="201" t="s">
        <v>43</v>
      </c>
      <c r="N3" s="201"/>
      <c r="O3" s="207" t="s">
        <v>8</v>
      </c>
      <c r="P3" s="207"/>
      <c r="Q3" s="207"/>
      <c r="R3" s="207"/>
      <c r="S3" s="207"/>
      <c r="T3" s="207"/>
      <c r="U3" s="207"/>
      <c r="V3" s="33" t="s">
        <v>143</v>
      </c>
      <c r="W3" s="25"/>
    </row>
    <row r="4" spans="1:23" ht="15.75" x14ac:dyDescent="0.25">
      <c r="A4" s="12" t="s">
        <v>0</v>
      </c>
      <c r="B4" s="216" t="s">
        <v>193</v>
      </c>
      <c r="C4" s="216"/>
      <c r="D4" s="12" t="s">
        <v>9</v>
      </c>
      <c r="E4" s="201">
        <v>9739743583</v>
      </c>
      <c r="F4" s="207"/>
      <c r="G4" s="207"/>
      <c r="H4" s="207"/>
      <c r="I4" s="207"/>
      <c r="J4" s="201" t="s">
        <v>2</v>
      </c>
      <c r="K4" s="201"/>
      <c r="L4" s="201"/>
      <c r="M4" s="216" t="s">
        <v>33</v>
      </c>
      <c r="N4" s="216"/>
      <c r="O4" s="207" t="s">
        <v>10</v>
      </c>
      <c r="P4" s="207"/>
      <c r="Q4" s="207"/>
      <c r="R4" s="207"/>
      <c r="S4" s="207"/>
      <c r="T4" s="207"/>
      <c r="U4" s="207"/>
      <c r="V4" s="39">
        <v>43744</v>
      </c>
      <c r="W4" s="25"/>
    </row>
    <row r="5" spans="1:23" ht="15.75" customHeight="1" x14ac:dyDescent="0.25">
      <c r="A5" s="207" t="s">
        <v>11</v>
      </c>
      <c r="B5" s="201" t="s">
        <v>1</v>
      </c>
      <c r="C5" s="201" t="s">
        <v>12</v>
      </c>
      <c r="D5" s="201" t="s">
        <v>13</v>
      </c>
      <c r="E5" s="207" t="s">
        <v>14</v>
      </c>
      <c r="F5" s="207"/>
      <c r="G5" s="207"/>
      <c r="H5" s="207"/>
      <c r="I5" s="207"/>
      <c r="J5" s="207" t="s">
        <v>15</v>
      </c>
      <c r="K5" s="207"/>
      <c r="L5" s="207"/>
      <c r="M5" s="207"/>
      <c r="N5" s="207"/>
      <c r="O5" s="201" t="s">
        <v>16</v>
      </c>
      <c r="P5" s="207" t="s">
        <v>67</v>
      </c>
      <c r="Q5" s="207"/>
      <c r="R5" s="207"/>
      <c r="S5" s="207"/>
      <c r="T5" s="207"/>
      <c r="U5" s="19" t="s">
        <v>241</v>
      </c>
      <c r="V5" s="19" t="s">
        <v>242</v>
      </c>
      <c r="W5" s="25"/>
    </row>
    <row r="6" spans="1:23" ht="63" x14ac:dyDescent="0.25">
      <c r="A6" s="207"/>
      <c r="B6" s="201"/>
      <c r="C6" s="201"/>
      <c r="D6" s="201"/>
      <c r="E6" s="17" t="s">
        <v>18</v>
      </c>
      <c r="F6" s="17" t="s">
        <v>19</v>
      </c>
      <c r="G6" s="17" t="s">
        <v>20</v>
      </c>
      <c r="H6" s="17" t="s">
        <v>3</v>
      </c>
      <c r="I6" s="17" t="s">
        <v>21</v>
      </c>
      <c r="J6" s="17" t="s">
        <v>18</v>
      </c>
      <c r="K6" s="17" t="s">
        <v>19</v>
      </c>
      <c r="L6" s="17" t="s">
        <v>20</v>
      </c>
      <c r="M6" s="17" t="s">
        <v>3</v>
      </c>
      <c r="N6" s="17" t="s">
        <v>22</v>
      </c>
      <c r="O6" s="201"/>
      <c r="P6" s="17" t="s">
        <v>18</v>
      </c>
      <c r="Q6" s="17" t="s">
        <v>19</v>
      </c>
      <c r="R6" s="17" t="s">
        <v>20</v>
      </c>
      <c r="S6" s="17" t="s">
        <v>3</v>
      </c>
      <c r="T6" s="17" t="s">
        <v>196</v>
      </c>
      <c r="U6" s="19" t="s">
        <v>241</v>
      </c>
      <c r="V6" s="19" t="s">
        <v>242</v>
      </c>
      <c r="W6" s="25" t="s">
        <v>66</v>
      </c>
    </row>
    <row r="7" spans="1:23" ht="15.75" x14ac:dyDescent="0.25">
      <c r="A7" s="12">
        <v>1</v>
      </c>
      <c r="B7" s="22" t="s">
        <v>195</v>
      </c>
      <c r="C7" s="19" t="s">
        <v>160</v>
      </c>
      <c r="D7" s="19" t="s">
        <v>194</v>
      </c>
      <c r="E7" s="17">
        <v>3.3</v>
      </c>
      <c r="F7" s="17">
        <v>0.4</v>
      </c>
      <c r="G7" s="19">
        <f t="shared" ref="G7" si="0">E7-F7</f>
        <v>2.9</v>
      </c>
      <c r="H7" s="17">
        <v>1</v>
      </c>
      <c r="I7" s="19">
        <f t="shared" ref="I7" si="1">G7*H7</f>
        <v>2.9</v>
      </c>
      <c r="J7" s="17">
        <v>24.6</v>
      </c>
      <c r="K7" s="17">
        <v>0.6</v>
      </c>
      <c r="L7" s="19">
        <f t="shared" ref="L7" si="2">J7-K7</f>
        <v>24</v>
      </c>
      <c r="M7" s="17">
        <v>1</v>
      </c>
      <c r="N7" s="19">
        <f t="shared" ref="N7" si="3">L7*M7</f>
        <v>24</v>
      </c>
      <c r="O7" s="17">
        <f>N7-I7</f>
        <v>21.1</v>
      </c>
      <c r="P7" s="17">
        <v>416.3</v>
      </c>
      <c r="Q7" s="17">
        <v>378.8</v>
      </c>
      <c r="R7" s="19">
        <f t="shared" ref="R7" si="4">P7-Q7</f>
        <v>37.5</v>
      </c>
      <c r="S7" s="17">
        <v>1</v>
      </c>
      <c r="T7" s="19">
        <f t="shared" ref="T7" si="5">R7*S7</f>
        <v>37.5</v>
      </c>
      <c r="U7" s="17"/>
      <c r="V7" s="17"/>
      <c r="W7" s="25"/>
    </row>
    <row r="8" spans="1:23" ht="15.75" x14ac:dyDescent="0.25">
      <c r="A8" s="12">
        <v>2</v>
      </c>
      <c r="B8" s="22" t="s">
        <v>203</v>
      </c>
      <c r="C8" s="19" t="s">
        <v>160</v>
      </c>
      <c r="D8" s="19" t="s">
        <v>194</v>
      </c>
      <c r="E8" s="17">
        <v>6.9</v>
      </c>
      <c r="F8" s="17">
        <f t="shared" ref="F8:F13" si="6">E7</f>
        <v>3.3</v>
      </c>
      <c r="G8" s="19">
        <f t="shared" ref="G8" si="7">E8-F8</f>
        <v>3.6000000000000005</v>
      </c>
      <c r="H8" s="17">
        <f t="shared" ref="H8:H16" si="8">H7</f>
        <v>1</v>
      </c>
      <c r="I8" s="19">
        <f t="shared" ref="I8" si="9">G8*H8</f>
        <v>3.6000000000000005</v>
      </c>
      <c r="J8" s="17">
        <v>56</v>
      </c>
      <c r="K8" s="17">
        <f t="shared" ref="K8:K13" si="10">J7</f>
        <v>24.6</v>
      </c>
      <c r="L8" s="19">
        <f t="shared" ref="L8" si="11">J8-K8</f>
        <v>31.4</v>
      </c>
      <c r="M8" s="17">
        <f t="shared" ref="M8:M16" si="12">M7</f>
        <v>1</v>
      </c>
      <c r="N8" s="19">
        <f t="shared" ref="N8" si="13">L8*M8</f>
        <v>31.4</v>
      </c>
      <c r="O8" s="17">
        <f>N8-I8</f>
        <v>27.799999999999997</v>
      </c>
      <c r="P8" s="17">
        <v>448</v>
      </c>
      <c r="Q8" s="17">
        <f t="shared" ref="Q8:Q13" si="14">P7</f>
        <v>416.3</v>
      </c>
      <c r="R8" s="19">
        <f t="shared" ref="R8" si="15">P8-Q8</f>
        <v>31.699999999999989</v>
      </c>
      <c r="S8" s="17">
        <f t="shared" ref="S8:S16" si="16">S7</f>
        <v>1</v>
      </c>
      <c r="T8" s="19">
        <f t="shared" ref="T8" si="17">R8*S8</f>
        <v>31.699999999999989</v>
      </c>
      <c r="U8" s="17"/>
      <c r="V8" s="17"/>
      <c r="W8" s="25"/>
    </row>
    <row r="9" spans="1:23" ht="15.75" x14ac:dyDescent="0.25">
      <c r="A9" s="12">
        <v>3</v>
      </c>
      <c r="B9" s="22" t="s">
        <v>240</v>
      </c>
      <c r="C9" s="19" t="s">
        <v>160</v>
      </c>
      <c r="D9" s="19" t="s">
        <v>194</v>
      </c>
      <c r="E9" s="17">
        <v>11.7</v>
      </c>
      <c r="F9" s="17">
        <f t="shared" si="6"/>
        <v>6.9</v>
      </c>
      <c r="G9" s="19">
        <f t="shared" ref="G9" si="18">E9-F9</f>
        <v>4.7999999999999989</v>
      </c>
      <c r="H9" s="17">
        <f t="shared" si="8"/>
        <v>1</v>
      </c>
      <c r="I9" s="19">
        <f t="shared" ref="I9" si="19">G9*H9</f>
        <v>4.7999999999999989</v>
      </c>
      <c r="J9" s="17">
        <v>85.5</v>
      </c>
      <c r="K9" s="17">
        <f t="shared" si="10"/>
        <v>56</v>
      </c>
      <c r="L9" s="19">
        <f t="shared" ref="L9" si="20">J9-K9</f>
        <v>29.5</v>
      </c>
      <c r="M9" s="17">
        <f t="shared" si="12"/>
        <v>1</v>
      </c>
      <c r="N9" s="19">
        <f t="shared" ref="N9" si="21">L9*M9</f>
        <v>29.5</v>
      </c>
      <c r="O9" s="12">
        <f t="shared" ref="O9:O16" si="22">SUM(O7)</f>
        <v>21.1</v>
      </c>
      <c r="P9" s="17">
        <v>480</v>
      </c>
      <c r="Q9" s="17">
        <f t="shared" si="14"/>
        <v>448</v>
      </c>
      <c r="R9" s="19">
        <f t="shared" ref="R9" si="23">P9-Q9</f>
        <v>32</v>
      </c>
      <c r="S9" s="17">
        <f t="shared" si="16"/>
        <v>1</v>
      </c>
      <c r="T9" s="19">
        <f t="shared" ref="T9" si="24">R9*S9</f>
        <v>32</v>
      </c>
      <c r="U9" s="17">
        <v>0.14000000000000001</v>
      </c>
      <c r="V9" s="17">
        <v>0.89</v>
      </c>
      <c r="W9" s="25"/>
    </row>
    <row r="10" spans="1:23" ht="15.75" x14ac:dyDescent="0.25">
      <c r="A10" s="12">
        <v>4</v>
      </c>
      <c r="B10" s="22" t="s">
        <v>244</v>
      </c>
      <c r="C10" s="19" t="s">
        <v>160</v>
      </c>
      <c r="D10" s="19" t="s">
        <v>194</v>
      </c>
      <c r="E10" s="17">
        <f>E9+2</f>
        <v>13.7</v>
      </c>
      <c r="F10" s="17">
        <f t="shared" si="6"/>
        <v>11.7</v>
      </c>
      <c r="G10" s="19">
        <f t="shared" ref="G10" si="25">E10-F10</f>
        <v>2</v>
      </c>
      <c r="H10" s="17">
        <f t="shared" si="8"/>
        <v>1</v>
      </c>
      <c r="I10" s="19">
        <f t="shared" ref="I10" si="26">G10*H10</f>
        <v>2</v>
      </c>
      <c r="J10" s="17">
        <f>J9+31</f>
        <v>116.5</v>
      </c>
      <c r="K10" s="17">
        <f t="shared" si="10"/>
        <v>85.5</v>
      </c>
      <c r="L10" s="19">
        <f t="shared" ref="L10" si="27">J10-K10</f>
        <v>31</v>
      </c>
      <c r="M10" s="17">
        <f t="shared" si="12"/>
        <v>1</v>
      </c>
      <c r="N10" s="19">
        <f t="shared" ref="N10" si="28">L10*M10</f>
        <v>31</v>
      </c>
      <c r="O10" s="12">
        <f t="shared" si="22"/>
        <v>27.799999999999997</v>
      </c>
      <c r="P10" s="17">
        <f>P9+34</f>
        <v>514</v>
      </c>
      <c r="Q10" s="17">
        <f t="shared" si="14"/>
        <v>480</v>
      </c>
      <c r="R10" s="19">
        <f t="shared" ref="R10" si="29">P10-Q10</f>
        <v>34</v>
      </c>
      <c r="S10" s="17">
        <f t="shared" si="16"/>
        <v>1</v>
      </c>
      <c r="T10" s="19">
        <f t="shared" ref="T10" si="30">R10*S10</f>
        <v>34</v>
      </c>
      <c r="U10" s="17"/>
      <c r="V10" s="17"/>
      <c r="W10" s="25"/>
    </row>
    <row r="11" spans="1:23" ht="15.75" x14ac:dyDescent="0.25">
      <c r="A11" s="12">
        <v>5</v>
      </c>
      <c r="B11" s="22" t="s">
        <v>245</v>
      </c>
      <c r="C11" s="19" t="s">
        <v>160</v>
      </c>
      <c r="D11" s="19" t="s">
        <v>194</v>
      </c>
      <c r="E11" s="17">
        <v>15</v>
      </c>
      <c r="F11" s="17">
        <f t="shared" si="6"/>
        <v>13.7</v>
      </c>
      <c r="G11" s="19">
        <f t="shared" ref="G11" si="31">E11-F11</f>
        <v>1.3000000000000007</v>
      </c>
      <c r="H11" s="17">
        <f t="shared" si="8"/>
        <v>1</v>
      </c>
      <c r="I11" s="19">
        <f t="shared" ref="I11" si="32">G11*H11</f>
        <v>1.3000000000000007</v>
      </c>
      <c r="J11" s="17">
        <v>146.5</v>
      </c>
      <c r="K11" s="17">
        <f t="shared" si="10"/>
        <v>116.5</v>
      </c>
      <c r="L11" s="19">
        <f t="shared" ref="L11" si="33">J11-K11</f>
        <v>30</v>
      </c>
      <c r="M11" s="17">
        <f t="shared" si="12"/>
        <v>1</v>
      </c>
      <c r="N11" s="19">
        <f t="shared" ref="N11" si="34">L11*M11</f>
        <v>30</v>
      </c>
      <c r="O11" s="12">
        <f t="shared" si="22"/>
        <v>21.1</v>
      </c>
      <c r="P11" s="17">
        <v>547</v>
      </c>
      <c r="Q11" s="17">
        <f t="shared" si="14"/>
        <v>514</v>
      </c>
      <c r="R11" s="19">
        <f t="shared" ref="R11" si="35">P11-Q11</f>
        <v>33</v>
      </c>
      <c r="S11" s="17">
        <f t="shared" si="16"/>
        <v>1</v>
      </c>
      <c r="T11" s="19">
        <f t="shared" ref="T11" si="36">R11*S11</f>
        <v>33</v>
      </c>
      <c r="U11" s="17">
        <v>0.08</v>
      </c>
      <c r="V11" s="17"/>
      <c r="W11" s="25"/>
    </row>
    <row r="12" spans="1:23" ht="15.75" x14ac:dyDescent="0.25">
      <c r="A12" s="12">
        <v>6</v>
      </c>
      <c r="B12" s="22" t="s">
        <v>246</v>
      </c>
      <c r="C12" s="19" t="s">
        <v>160</v>
      </c>
      <c r="D12" s="19" t="s">
        <v>194</v>
      </c>
      <c r="E12" s="12">
        <v>25.6</v>
      </c>
      <c r="F12" s="17">
        <f t="shared" si="6"/>
        <v>15</v>
      </c>
      <c r="G12" s="19">
        <f t="shared" ref="G12" si="37">E12-F12</f>
        <v>10.600000000000001</v>
      </c>
      <c r="H12" s="17">
        <f t="shared" si="8"/>
        <v>1</v>
      </c>
      <c r="I12" s="19">
        <f t="shared" ref="I12" si="38">G12*H12</f>
        <v>10.600000000000001</v>
      </c>
      <c r="J12" s="12">
        <v>188.5</v>
      </c>
      <c r="K12" s="17">
        <f t="shared" si="10"/>
        <v>146.5</v>
      </c>
      <c r="L12" s="19">
        <f t="shared" ref="L12" si="39">J12-K12</f>
        <v>42</v>
      </c>
      <c r="M12" s="17">
        <f t="shared" si="12"/>
        <v>1</v>
      </c>
      <c r="N12" s="19">
        <f t="shared" ref="N12" si="40">L12*M12</f>
        <v>42</v>
      </c>
      <c r="O12" s="12">
        <f t="shared" si="22"/>
        <v>27.799999999999997</v>
      </c>
      <c r="P12" s="17">
        <f>P11+58</f>
        <v>605</v>
      </c>
      <c r="Q12" s="17">
        <f t="shared" si="14"/>
        <v>547</v>
      </c>
      <c r="R12" s="19">
        <f t="shared" ref="R12" si="41">P12-Q12</f>
        <v>58</v>
      </c>
      <c r="S12" s="17">
        <f t="shared" si="16"/>
        <v>1</v>
      </c>
      <c r="T12" s="19">
        <f t="shared" ref="T12" si="42">R12*S12</f>
        <v>58</v>
      </c>
      <c r="U12" s="19">
        <v>0.06</v>
      </c>
      <c r="V12" s="19">
        <v>0.97</v>
      </c>
      <c r="W12" s="25"/>
    </row>
    <row r="13" spans="1:23" ht="15.75" x14ac:dyDescent="0.25">
      <c r="A13" s="12">
        <v>7</v>
      </c>
      <c r="B13" s="22" t="s">
        <v>252</v>
      </c>
      <c r="C13" s="19" t="s">
        <v>160</v>
      </c>
      <c r="D13" s="19" t="s">
        <v>194</v>
      </c>
      <c r="E13" s="12">
        <v>30.8</v>
      </c>
      <c r="F13" s="17">
        <f t="shared" si="6"/>
        <v>25.6</v>
      </c>
      <c r="G13" s="19">
        <f t="shared" ref="G13" si="43">E13-F13</f>
        <v>5.1999999999999993</v>
      </c>
      <c r="H13" s="17">
        <f t="shared" si="8"/>
        <v>1</v>
      </c>
      <c r="I13" s="19">
        <f t="shared" ref="I13" si="44">G13*H13</f>
        <v>5.1999999999999993</v>
      </c>
      <c r="J13" s="12">
        <f>J12+88</f>
        <v>276.5</v>
      </c>
      <c r="K13" s="17">
        <f t="shared" si="10"/>
        <v>188.5</v>
      </c>
      <c r="L13" s="19">
        <f t="shared" ref="L13" si="45">J13-K13</f>
        <v>88</v>
      </c>
      <c r="M13" s="17">
        <f t="shared" si="12"/>
        <v>1</v>
      </c>
      <c r="N13" s="19">
        <f t="shared" ref="N13" si="46">L13*M13</f>
        <v>88</v>
      </c>
      <c r="O13" s="12">
        <f t="shared" si="22"/>
        <v>21.1</v>
      </c>
      <c r="P13" s="12">
        <f>P12+95</f>
        <v>700</v>
      </c>
      <c r="Q13" s="17">
        <f t="shared" si="14"/>
        <v>605</v>
      </c>
      <c r="R13" s="19">
        <f t="shared" ref="R13" si="47">P13-Q13</f>
        <v>95</v>
      </c>
      <c r="S13" s="17">
        <f t="shared" si="16"/>
        <v>1</v>
      </c>
      <c r="T13" s="19">
        <f t="shared" ref="T13" si="48">R13*S13</f>
        <v>95</v>
      </c>
      <c r="U13" s="19">
        <v>0.09</v>
      </c>
      <c r="V13" s="19">
        <v>0.88</v>
      </c>
      <c r="W13" s="25"/>
    </row>
    <row r="14" spans="1:23" ht="15.75" x14ac:dyDescent="0.25">
      <c r="A14" s="12">
        <v>8</v>
      </c>
      <c r="B14" s="22" t="s">
        <v>253</v>
      </c>
      <c r="C14" s="19" t="s">
        <v>160</v>
      </c>
      <c r="D14" s="19" t="s">
        <v>194</v>
      </c>
      <c r="E14" s="12">
        <v>36.799999999999997</v>
      </c>
      <c r="F14" s="17">
        <f t="shared" ref="F14" si="49">E13</f>
        <v>30.8</v>
      </c>
      <c r="G14" s="19">
        <f t="shared" ref="G14" si="50">E14-F14</f>
        <v>5.9999999999999964</v>
      </c>
      <c r="H14" s="17">
        <f t="shared" si="8"/>
        <v>1</v>
      </c>
      <c r="I14" s="19">
        <f t="shared" ref="I14" si="51">G14*H14</f>
        <v>5.9999999999999964</v>
      </c>
      <c r="J14" s="12">
        <f>J13+38</f>
        <v>314.5</v>
      </c>
      <c r="K14" s="17">
        <f t="shared" ref="K14" si="52">J13</f>
        <v>276.5</v>
      </c>
      <c r="L14" s="19">
        <f t="shared" ref="L14" si="53">J14-K14</f>
        <v>38</v>
      </c>
      <c r="M14" s="17">
        <f t="shared" si="12"/>
        <v>1</v>
      </c>
      <c r="N14" s="19">
        <f t="shared" ref="N14" si="54">L14*M14</f>
        <v>38</v>
      </c>
      <c r="O14" s="12">
        <f t="shared" si="22"/>
        <v>27.799999999999997</v>
      </c>
      <c r="P14" s="12">
        <v>740</v>
      </c>
      <c r="Q14" s="17">
        <f t="shared" ref="Q14" si="55">P13</f>
        <v>700</v>
      </c>
      <c r="R14" s="19">
        <f t="shared" ref="R14" si="56">P14-Q14</f>
        <v>40</v>
      </c>
      <c r="S14" s="17">
        <f t="shared" si="16"/>
        <v>1</v>
      </c>
      <c r="T14" s="19">
        <f t="shared" ref="T14" si="57">R14*S14</f>
        <v>40</v>
      </c>
      <c r="U14" s="19">
        <v>0.09</v>
      </c>
      <c r="V14" s="19">
        <v>0.9</v>
      </c>
      <c r="W14" s="25"/>
    </row>
    <row r="15" spans="1:23" ht="15.75" x14ac:dyDescent="0.25">
      <c r="A15" s="12">
        <v>9</v>
      </c>
      <c r="B15" s="22" t="s">
        <v>254</v>
      </c>
      <c r="C15" s="19" t="s">
        <v>160</v>
      </c>
      <c r="D15" s="19" t="s">
        <v>194</v>
      </c>
      <c r="E15" s="12">
        <v>85</v>
      </c>
      <c r="F15" s="17">
        <f t="shared" ref="F15" si="58">E14</f>
        <v>36.799999999999997</v>
      </c>
      <c r="G15" s="19">
        <f t="shared" ref="G15" si="59">E15-F15</f>
        <v>48.2</v>
      </c>
      <c r="H15" s="17">
        <f t="shared" si="8"/>
        <v>1</v>
      </c>
      <c r="I15" s="19">
        <f t="shared" ref="I15" si="60">G15*H15</f>
        <v>48.2</v>
      </c>
      <c r="J15" s="12">
        <v>345</v>
      </c>
      <c r="K15" s="17">
        <f t="shared" ref="K15" si="61">J14</f>
        <v>314.5</v>
      </c>
      <c r="L15" s="19">
        <f t="shared" ref="L15" si="62">J15-K15</f>
        <v>30.5</v>
      </c>
      <c r="M15" s="17">
        <f t="shared" si="12"/>
        <v>1</v>
      </c>
      <c r="N15" s="19">
        <f t="shared" ref="N15" si="63">L15*M15</f>
        <v>30.5</v>
      </c>
      <c r="O15" s="12">
        <f t="shared" si="22"/>
        <v>21.1</v>
      </c>
      <c r="P15" s="12">
        <v>782</v>
      </c>
      <c r="Q15" s="17">
        <f t="shared" ref="Q15" si="64">P14</f>
        <v>740</v>
      </c>
      <c r="R15" s="19">
        <f t="shared" ref="R15" si="65">P15-Q15</f>
        <v>42</v>
      </c>
      <c r="S15" s="17">
        <f t="shared" si="16"/>
        <v>1</v>
      </c>
      <c r="T15" s="19">
        <f t="shared" ref="T15" si="66">R15*S15</f>
        <v>42</v>
      </c>
      <c r="U15" s="19">
        <v>5.3999999999999999E-2</v>
      </c>
      <c r="V15" s="19">
        <v>0.41</v>
      </c>
      <c r="W15" s="25"/>
    </row>
    <row r="16" spans="1:23" ht="15.75" x14ac:dyDescent="0.25">
      <c r="A16" s="12">
        <v>10</v>
      </c>
      <c r="B16" s="22" t="s">
        <v>258</v>
      </c>
      <c r="C16" s="19" t="s">
        <v>160</v>
      </c>
      <c r="D16" s="19" t="s">
        <v>194</v>
      </c>
      <c r="E16" s="12">
        <f>E15+3</f>
        <v>88</v>
      </c>
      <c r="F16" s="17">
        <f t="shared" ref="F16" si="67">E15</f>
        <v>85</v>
      </c>
      <c r="G16" s="19">
        <f t="shared" ref="G16" si="68">E16-F16</f>
        <v>3</v>
      </c>
      <c r="H16" s="17">
        <f t="shared" si="8"/>
        <v>1</v>
      </c>
      <c r="I16" s="19">
        <f t="shared" ref="I16" si="69">G16*H16</f>
        <v>3</v>
      </c>
      <c r="J16" s="12">
        <f>J15+22</f>
        <v>367</v>
      </c>
      <c r="K16" s="17">
        <f t="shared" ref="K16" si="70">J15</f>
        <v>345</v>
      </c>
      <c r="L16" s="19">
        <f t="shared" ref="L16" si="71">J16-K16</f>
        <v>22</v>
      </c>
      <c r="M16" s="17">
        <f t="shared" si="12"/>
        <v>1</v>
      </c>
      <c r="N16" s="19">
        <f t="shared" ref="N16" si="72">L16*M16</f>
        <v>22</v>
      </c>
      <c r="O16" s="12">
        <f t="shared" si="22"/>
        <v>27.799999999999997</v>
      </c>
      <c r="P16" s="12">
        <f>P15+25</f>
        <v>807</v>
      </c>
      <c r="Q16" s="17">
        <f t="shared" ref="Q16" si="73">P15</f>
        <v>782</v>
      </c>
      <c r="R16" s="19">
        <f t="shared" ref="R16" si="74">P16-Q16</f>
        <v>25</v>
      </c>
      <c r="S16" s="17">
        <f t="shared" si="16"/>
        <v>1</v>
      </c>
      <c r="T16" s="19">
        <f t="shared" ref="T16" si="75">R16*S16</f>
        <v>25</v>
      </c>
      <c r="U16" s="19"/>
      <c r="V16" s="19"/>
      <c r="W16" s="25"/>
    </row>
    <row r="17" spans="1:23" s="3" customFormat="1" ht="15.75" x14ac:dyDescent="0.25">
      <c r="A17" s="12"/>
      <c r="B17" s="22"/>
      <c r="C17" s="12"/>
      <c r="D17" s="12"/>
      <c r="E17" s="12"/>
      <c r="F17" s="17"/>
      <c r="G17" s="12"/>
      <c r="H17" s="17" t="s">
        <v>121</v>
      </c>
      <c r="I17" s="12">
        <f>SUM(I7:I16)</f>
        <v>87.6</v>
      </c>
      <c r="J17" s="12"/>
      <c r="K17" s="17"/>
      <c r="L17" s="12"/>
      <c r="M17" s="17"/>
      <c r="N17" s="12">
        <f>SUM(N7:N16)</f>
        <v>366.4</v>
      </c>
      <c r="O17" s="12">
        <f>SUM(O7:O16)</f>
        <v>244.49999999999994</v>
      </c>
      <c r="P17" s="12"/>
      <c r="Q17" s="17"/>
      <c r="R17" s="12"/>
      <c r="S17" s="17"/>
      <c r="T17" s="12">
        <f>SUM(T7:T16)</f>
        <v>428.2</v>
      </c>
      <c r="U17" s="12"/>
      <c r="V17" s="12"/>
      <c r="W17" s="31"/>
    </row>
    <row r="18" spans="1:23" ht="15.75" x14ac:dyDescent="0.25">
      <c r="A18" s="12">
        <v>11</v>
      </c>
      <c r="B18" s="22" t="s">
        <v>259</v>
      </c>
      <c r="C18" s="19" t="s">
        <v>160</v>
      </c>
      <c r="D18" s="19" t="s">
        <v>124</v>
      </c>
      <c r="E18" s="12">
        <f>E16+1</f>
        <v>89</v>
      </c>
      <c r="F18" s="17">
        <f>E16</f>
        <v>88</v>
      </c>
      <c r="G18" s="19">
        <f t="shared" ref="G18" si="76">E18-F18</f>
        <v>1</v>
      </c>
      <c r="H18" s="91">
        <v>1</v>
      </c>
      <c r="I18" s="19">
        <f t="shared" ref="I18" si="77">G18*H18</f>
        <v>1</v>
      </c>
      <c r="J18" s="12">
        <f>J16+22</f>
        <v>389</v>
      </c>
      <c r="K18" s="17">
        <f>J16</f>
        <v>367</v>
      </c>
      <c r="L18" s="19">
        <f t="shared" ref="L18" si="78">J18-K18</f>
        <v>22</v>
      </c>
      <c r="M18" s="17">
        <f>M16</f>
        <v>1</v>
      </c>
      <c r="N18" s="19">
        <f t="shared" ref="N18" si="79">L18*M18</f>
        <v>22</v>
      </c>
      <c r="O18" s="17">
        <f t="shared" ref="O18" si="80">N18-I18</f>
        <v>21</v>
      </c>
      <c r="P18" s="12">
        <f>P16+25</f>
        <v>832</v>
      </c>
      <c r="Q18" s="17">
        <f>P16</f>
        <v>807</v>
      </c>
      <c r="R18" s="19">
        <f t="shared" ref="R18" si="81">P18-Q18</f>
        <v>25</v>
      </c>
      <c r="S18" s="17">
        <f>S16</f>
        <v>1</v>
      </c>
      <c r="T18" s="19">
        <f t="shared" ref="T18" si="82">R18*S18</f>
        <v>25</v>
      </c>
      <c r="U18" s="12"/>
      <c r="V18" s="12"/>
      <c r="W18" s="25"/>
    </row>
    <row r="19" spans="1:23" ht="15.75" x14ac:dyDescent="0.25">
      <c r="A19" s="12">
        <v>12</v>
      </c>
      <c r="B19" s="22" t="s">
        <v>263</v>
      </c>
      <c r="C19" s="19" t="s">
        <v>160</v>
      </c>
      <c r="D19" s="19" t="s">
        <v>124</v>
      </c>
      <c r="E19" s="12">
        <f>E18+3</f>
        <v>92</v>
      </c>
      <c r="F19" s="17">
        <f>F18</f>
        <v>88</v>
      </c>
      <c r="G19" s="19">
        <f t="shared" ref="G19:G20" si="83">E19-F19</f>
        <v>4</v>
      </c>
      <c r="H19" s="91">
        <v>1</v>
      </c>
      <c r="I19" s="19">
        <f t="shared" ref="I19:I20" si="84">G19*H19</f>
        <v>4</v>
      </c>
      <c r="J19" s="12">
        <f>J18+22</f>
        <v>411</v>
      </c>
      <c r="K19" s="17">
        <f>J18</f>
        <v>389</v>
      </c>
      <c r="L19" s="19">
        <f t="shared" ref="L19:L20" si="85">J19-K19</f>
        <v>22</v>
      </c>
      <c r="M19" s="17">
        <f>M18</f>
        <v>1</v>
      </c>
      <c r="N19" s="19">
        <f t="shared" ref="N19:N20" si="86">L19*M19</f>
        <v>22</v>
      </c>
      <c r="O19" s="17">
        <f t="shared" ref="O19:O20" si="87">N19-I19</f>
        <v>18</v>
      </c>
      <c r="P19" s="12">
        <f>P18+25</f>
        <v>857</v>
      </c>
      <c r="Q19" s="17">
        <f>P18</f>
        <v>832</v>
      </c>
      <c r="R19" s="19">
        <f t="shared" ref="R19:R20" si="88">P19-Q19</f>
        <v>25</v>
      </c>
      <c r="S19" s="17">
        <f>S18</f>
        <v>1</v>
      </c>
      <c r="T19" s="19">
        <f t="shared" ref="T19:T20" si="89">R19*S19</f>
        <v>25</v>
      </c>
      <c r="U19" s="19"/>
      <c r="V19" s="19"/>
      <c r="W19" s="25"/>
    </row>
    <row r="20" spans="1:23" ht="15.75" x14ac:dyDescent="0.25">
      <c r="A20" s="12">
        <v>13</v>
      </c>
      <c r="B20" s="22" t="s">
        <v>265</v>
      </c>
      <c r="C20" s="19" t="s">
        <v>160</v>
      </c>
      <c r="D20" s="19" t="s">
        <v>124</v>
      </c>
      <c r="E20" s="12">
        <v>100.6</v>
      </c>
      <c r="F20" s="17">
        <f>E19</f>
        <v>92</v>
      </c>
      <c r="G20" s="19">
        <f t="shared" si="83"/>
        <v>8.5999999999999943</v>
      </c>
      <c r="H20" s="91">
        <v>1</v>
      </c>
      <c r="I20" s="19">
        <f t="shared" si="84"/>
        <v>8.5999999999999943</v>
      </c>
      <c r="J20" s="12">
        <v>433.4</v>
      </c>
      <c r="K20" s="17">
        <f>J19</f>
        <v>411</v>
      </c>
      <c r="L20" s="19">
        <f t="shared" si="85"/>
        <v>22.399999999999977</v>
      </c>
      <c r="M20" s="17">
        <f t="shared" ref="M20:M59" si="90">M18</f>
        <v>1</v>
      </c>
      <c r="N20" s="19">
        <f t="shared" si="86"/>
        <v>22.399999999999977</v>
      </c>
      <c r="O20" s="17">
        <f t="shared" si="87"/>
        <v>13.799999999999983</v>
      </c>
      <c r="P20" s="12">
        <v>882.1</v>
      </c>
      <c r="Q20" s="17">
        <f>P19</f>
        <v>857</v>
      </c>
      <c r="R20" s="19">
        <f t="shared" si="88"/>
        <v>25.100000000000023</v>
      </c>
      <c r="S20" s="17">
        <f t="shared" ref="S20:S59" si="91">S18</f>
        <v>1</v>
      </c>
      <c r="T20" s="19">
        <f t="shared" si="89"/>
        <v>25.100000000000023</v>
      </c>
      <c r="U20" s="19">
        <v>1.82</v>
      </c>
      <c r="V20" s="19">
        <v>0.71</v>
      </c>
      <c r="W20" s="25"/>
    </row>
    <row r="21" spans="1:23" ht="15.75" x14ac:dyDescent="0.25">
      <c r="A21" s="12">
        <v>14</v>
      </c>
      <c r="B21" s="22" t="s">
        <v>266</v>
      </c>
      <c r="C21" s="19" t="s">
        <v>160</v>
      </c>
      <c r="D21" s="19" t="s">
        <v>124</v>
      </c>
      <c r="E21" s="12">
        <v>102.6</v>
      </c>
      <c r="F21" s="17">
        <f>E20</f>
        <v>100.6</v>
      </c>
      <c r="G21" s="19">
        <f t="shared" ref="G21" si="92">E21-F21</f>
        <v>2</v>
      </c>
      <c r="H21" s="91">
        <f>H20</f>
        <v>1</v>
      </c>
      <c r="I21" s="19">
        <f t="shared" ref="I21" si="93">G21*H21</f>
        <v>2</v>
      </c>
      <c r="J21" s="12">
        <v>457.2</v>
      </c>
      <c r="K21" s="17">
        <f>J20</f>
        <v>433.4</v>
      </c>
      <c r="L21" s="19">
        <f t="shared" ref="L21" si="94">J21-K21</f>
        <v>23.800000000000011</v>
      </c>
      <c r="M21" s="17">
        <f t="shared" si="90"/>
        <v>1</v>
      </c>
      <c r="N21" s="19">
        <f t="shared" ref="N21" si="95">L21*M21</f>
        <v>23.800000000000011</v>
      </c>
      <c r="O21" s="17">
        <f t="shared" ref="O21" si="96">N21-I21</f>
        <v>21.800000000000011</v>
      </c>
      <c r="P21" s="12">
        <v>910.8</v>
      </c>
      <c r="Q21" s="17">
        <f>P20</f>
        <v>882.1</v>
      </c>
      <c r="R21" s="19">
        <f t="shared" ref="R21" si="97">P21-Q21</f>
        <v>28.699999999999932</v>
      </c>
      <c r="S21" s="17">
        <f t="shared" si="91"/>
        <v>1</v>
      </c>
      <c r="T21" s="19">
        <f t="shared" ref="T21" si="98">R21*S21</f>
        <v>28.699999999999932</v>
      </c>
      <c r="U21" s="19"/>
      <c r="V21" s="19"/>
      <c r="W21" s="25"/>
    </row>
    <row r="22" spans="1:23" ht="15.75" x14ac:dyDescent="0.25">
      <c r="A22" s="12">
        <v>15</v>
      </c>
      <c r="B22" s="22" t="s">
        <v>267</v>
      </c>
      <c r="C22" s="19" t="s">
        <v>160</v>
      </c>
      <c r="D22" s="19" t="s">
        <v>124</v>
      </c>
      <c r="E22" s="12">
        <v>105</v>
      </c>
      <c r="F22" s="17">
        <f>E21</f>
        <v>102.6</v>
      </c>
      <c r="G22" s="19">
        <f t="shared" ref="G22" si="99">E22-F22</f>
        <v>2.4000000000000057</v>
      </c>
      <c r="H22" s="91">
        <f>H21</f>
        <v>1</v>
      </c>
      <c r="I22" s="19">
        <f t="shared" ref="I22" si="100">G22*H22</f>
        <v>2.4000000000000057</v>
      </c>
      <c r="J22" s="12">
        <v>485.7</v>
      </c>
      <c r="K22" s="17">
        <f>J21</f>
        <v>457.2</v>
      </c>
      <c r="L22" s="19">
        <f t="shared" ref="L22" si="101">J22-K22</f>
        <v>28.5</v>
      </c>
      <c r="M22" s="17">
        <f t="shared" si="90"/>
        <v>1</v>
      </c>
      <c r="N22" s="19">
        <f t="shared" ref="N22" si="102">L22*M22</f>
        <v>28.5</v>
      </c>
      <c r="O22" s="17">
        <f t="shared" ref="O22" si="103">N22-I22</f>
        <v>26.099999999999994</v>
      </c>
      <c r="P22" s="12">
        <v>941.3</v>
      </c>
      <c r="Q22" s="17">
        <f>P21</f>
        <v>910.8</v>
      </c>
      <c r="R22" s="19">
        <f t="shared" ref="R22" si="104">P22-Q22</f>
        <v>30.5</v>
      </c>
      <c r="S22" s="17">
        <f t="shared" si="91"/>
        <v>1</v>
      </c>
      <c r="T22" s="19">
        <f t="shared" ref="T22" si="105">R22*S22</f>
        <v>30.5</v>
      </c>
      <c r="U22" s="19"/>
      <c r="V22" s="19"/>
      <c r="W22" s="25"/>
    </row>
    <row r="23" spans="1:23" ht="15.75" x14ac:dyDescent="0.25">
      <c r="A23" s="12">
        <v>16</v>
      </c>
      <c r="B23" s="22" t="s">
        <v>268</v>
      </c>
      <c r="C23" s="19" t="s">
        <v>160</v>
      </c>
      <c r="D23" s="19" t="s">
        <v>124</v>
      </c>
      <c r="E23" s="12">
        <v>107.2</v>
      </c>
      <c r="F23" s="17">
        <f t="shared" ref="F23:F24" si="106">E22</f>
        <v>105</v>
      </c>
      <c r="G23" s="19">
        <f t="shared" ref="G23:G24" si="107">E23-F23</f>
        <v>2.2000000000000028</v>
      </c>
      <c r="H23" s="91">
        <f t="shared" ref="H23:H59" si="108">H22</f>
        <v>1</v>
      </c>
      <c r="I23" s="19">
        <f t="shared" ref="I23:I24" si="109">G23*H23</f>
        <v>2.2000000000000028</v>
      </c>
      <c r="J23" s="12">
        <v>529.70000000000005</v>
      </c>
      <c r="K23" s="17">
        <f t="shared" ref="K23:K24" si="110">J22</f>
        <v>485.7</v>
      </c>
      <c r="L23" s="19">
        <f t="shared" ref="L23:L24" si="111">J23-K23</f>
        <v>44.000000000000057</v>
      </c>
      <c r="M23" s="17">
        <f t="shared" si="90"/>
        <v>1</v>
      </c>
      <c r="N23" s="19">
        <f t="shared" ref="N23:N24" si="112">L23*M23</f>
        <v>44.000000000000057</v>
      </c>
      <c r="O23" s="17">
        <f t="shared" ref="O23:O24" si="113">N23-I23</f>
        <v>41.800000000000054</v>
      </c>
      <c r="P23" s="12">
        <v>988</v>
      </c>
      <c r="Q23" s="17">
        <f t="shared" ref="Q23:Q24" si="114">P22</f>
        <v>941.3</v>
      </c>
      <c r="R23" s="19">
        <f t="shared" ref="R23:R24" si="115">P23-Q23</f>
        <v>46.700000000000045</v>
      </c>
      <c r="S23" s="17">
        <f t="shared" si="91"/>
        <v>1</v>
      </c>
      <c r="T23" s="19">
        <f t="shared" ref="T23:T24" si="116">R23*S23</f>
        <v>46.700000000000045</v>
      </c>
      <c r="U23" s="19"/>
      <c r="V23" s="19"/>
      <c r="W23" s="25"/>
    </row>
    <row r="24" spans="1:23" ht="15.75" x14ac:dyDescent="0.25">
      <c r="A24" s="12">
        <v>17</v>
      </c>
      <c r="B24" s="22" t="s">
        <v>272</v>
      </c>
      <c r="C24" s="19" t="s">
        <v>160</v>
      </c>
      <c r="D24" s="19" t="s">
        <v>124</v>
      </c>
      <c r="E24" s="12">
        <v>109.7</v>
      </c>
      <c r="F24" s="17">
        <f t="shared" si="106"/>
        <v>107.2</v>
      </c>
      <c r="G24" s="19">
        <f t="shared" si="107"/>
        <v>2.5</v>
      </c>
      <c r="H24" s="91">
        <f t="shared" si="108"/>
        <v>1</v>
      </c>
      <c r="I24" s="19">
        <f t="shared" si="109"/>
        <v>2.5</v>
      </c>
      <c r="J24" s="12">
        <v>576.9</v>
      </c>
      <c r="K24" s="17">
        <f t="shared" si="110"/>
        <v>529.70000000000005</v>
      </c>
      <c r="L24" s="19">
        <f t="shared" si="111"/>
        <v>47.199999999999932</v>
      </c>
      <c r="M24" s="17">
        <f t="shared" si="90"/>
        <v>1</v>
      </c>
      <c r="N24" s="19">
        <f t="shared" si="112"/>
        <v>47.199999999999932</v>
      </c>
      <c r="O24" s="17">
        <f t="shared" si="113"/>
        <v>44.699999999999932</v>
      </c>
      <c r="P24" s="12">
        <v>1037.9000000000001</v>
      </c>
      <c r="Q24" s="17">
        <f t="shared" si="114"/>
        <v>988</v>
      </c>
      <c r="R24" s="19">
        <f t="shared" si="115"/>
        <v>49.900000000000091</v>
      </c>
      <c r="S24" s="17">
        <f t="shared" si="91"/>
        <v>1</v>
      </c>
      <c r="T24" s="19">
        <f t="shared" si="116"/>
        <v>49.900000000000091</v>
      </c>
      <c r="U24" s="19">
        <v>0.03</v>
      </c>
      <c r="V24" s="19">
        <v>0.95</v>
      </c>
      <c r="W24" s="25"/>
    </row>
    <row r="25" spans="1:23" ht="15.75" x14ac:dyDescent="0.25">
      <c r="A25" s="12">
        <v>18</v>
      </c>
      <c r="B25" s="22" t="s">
        <v>274</v>
      </c>
      <c r="C25" s="19" t="s">
        <v>160</v>
      </c>
      <c r="D25" s="19" t="s">
        <v>124</v>
      </c>
      <c r="E25" s="12">
        <v>113.3</v>
      </c>
      <c r="F25" s="17">
        <f t="shared" ref="F25" si="117">E24</f>
        <v>109.7</v>
      </c>
      <c r="G25" s="19">
        <f t="shared" ref="G25" si="118">E25-F25</f>
        <v>3.5999999999999943</v>
      </c>
      <c r="H25" s="91">
        <f t="shared" si="108"/>
        <v>1</v>
      </c>
      <c r="I25" s="19">
        <f t="shared" ref="I25" si="119">G25*H25</f>
        <v>3.5999999999999943</v>
      </c>
      <c r="J25" s="12">
        <v>631.79999999999995</v>
      </c>
      <c r="K25" s="17">
        <f t="shared" ref="K25" si="120">J24</f>
        <v>576.9</v>
      </c>
      <c r="L25" s="19">
        <f t="shared" ref="L25" si="121">J25-K25</f>
        <v>54.899999999999977</v>
      </c>
      <c r="M25" s="17">
        <f t="shared" si="90"/>
        <v>1</v>
      </c>
      <c r="N25" s="19">
        <f t="shared" ref="N25" si="122">L25*M25</f>
        <v>54.899999999999977</v>
      </c>
      <c r="O25" s="17">
        <f t="shared" ref="O25" si="123">N25-I25</f>
        <v>51.299999999999983</v>
      </c>
      <c r="P25" s="12">
        <v>1095.5</v>
      </c>
      <c r="Q25" s="17">
        <f t="shared" ref="Q25" si="124">P24</f>
        <v>1037.9000000000001</v>
      </c>
      <c r="R25" s="19">
        <f t="shared" ref="R25" si="125">P25-Q25</f>
        <v>57.599999999999909</v>
      </c>
      <c r="S25" s="17">
        <f t="shared" si="91"/>
        <v>1</v>
      </c>
      <c r="T25" s="19">
        <f t="shared" ref="T25" si="126">R25*S25</f>
        <v>57.599999999999909</v>
      </c>
      <c r="U25" s="19">
        <v>0.08</v>
      </c>
      <c r="V25" s="19">
        <v>0.96</v>
      </c>
      <c r="W25" s="25"/>
    </row>
    <row r="26" spans="1:23" ht="15.75" x14ac:dyDescent="0.25">
      <c r="A26" s="12">
        <v>19</v>
      </c>
      <c r="B26" s="22" t="s">
        <v>276</v>
      </c>
      <c r="C26" s="19" t="s">
        <v>160</v>
      </c>
      <c r="D26" s="19" t="s">
        <v>124</v>
      </c>
      <c r="E26" s="12">
        <v>115.3</v>
      </c>
      <c r="F26" s="17">
        <f t="shared" ref="F26" si="127">E25</f>
        <v>113.3</v>
      </c>
      <c r="G26" s="19">
        <f t="shared" ref="G26" si="128">E26-F26</f>
        <v>2</v>
      </c>
      <c r="H26" s="91">
        <f t="shared" si="108"/>
        <v>1</v>
      </c>
      <c r="I26" s="19">
        <f t="shared" ref="I26" si="129">G26*H26</f>
        <v>2</v>
      </c>
      <c r="J26" s="12">
        <v>688.2</v>
      </c>
      <c r="K26" s="17">
        <f t="shared" ref="K26" si="130">J25</f>
        <v>631.79999999999995</v>
      </c>
      <c r="L26" s="19">
        <f t="shared" ref="L26" si="131">J26-K26</f>
        <v>56.400000000000091</v>
      </c>
      <c r="M26" s="17">
        <f t="shared" si="90"/>
        <v>1</v>
      </c>
      <c r="N26" s="19">
        <f t="shared" ref="N26" si="132">L26*M26</f>
        <v>56.400000000000091</v>
      </c>
      <c r="O26" s="17">
        <f t="shared" ref="O26" si="133">N26-I26</f>
        <v>54.400000000000091</v>
      </c>
      <c r="P26" s="12">
        <v>1150.5</v>
      </c>
      <c r="Q26" s="17">
        <f t="shared" ref="Q26" si="134">P25</f>
        <v>1095.5</v>
      </c>
      <c r="R26" s="19">
        <f t="shared" ref="R26" si="135">P26-Q26</f>
        <v>55</v>
      </c>
      <c r="S26" s="17">
        <f t="shared" si="91"/>
        <v>1</v>
      </c>
      <c r="T26" s="19">
        <f t="shared" ref="T26" si="136">R26*S26</f>
        <v>55</v>
      </c>
      <c r="U26" s="19"/>
      <c r="V26" s="19"/>
      <c r="W26" s="25"/>
    </row>
    <row r="27" spans="1:23" ht="15.75" x14ac:dyDescent="0.25">
      <c r="A27" s="12">
        <v>20</v>
      </c>
      <c r="B27" s="22" t="s">
        <v>262</v>
      </c>
      <c r="C27" s="19" t="s">
        <v>160</v>
      </c>
      <c r="D27" s="19" t="s">
        <v>124</v>
      </c>
      <c r="E27" s="12">
        <v>117.4</v>
      </c>
      <c r="F27" s="17">
        <f t="shared" ref="F27" si="137">E26</f>
        <v>115.3</v>
      </c>
      <c r="G27" s="19">
        <f t="shared" ref="G27" si="138">E27-F27</f>
        <v>2.1000000000000085</v>
      </c>
      <c r="H27" s="91">
        <f t="shared" si="108"/>
        <v>1</v>
      </c>
      <c r="I27" s="19">
        <f t="shared" ref="I27" si="139">G27*H27</f>
        <v>2.1000000000000085</v>
      </c>
      <c r="J27" s="12">
        <v>742.6</v>
      </c>
      <c r="K27" s="17">
        <f t="shared" ref="K27" si="140">J26</f>
        <v>688.2</v>
      </c>
      <c r="L27" s="19">
        <f t="shared" ref="L27" si="141">J27-K27</f>
        <v>54.399999999999977</v>
      </c>
      <c r="M27" s="17">
        <f t="shared" si="90"/>
        <v>1</v>
      </c>
      <c r="N27" s="19">
        <f t="shared" ref="N27" si="142">L27*M27</f>
        <v>54.399999999999977</v>
      </c>
      <c r="O27" s="17">
        <f t="shared" ref="O27" si="143">N27-I27</f>
        <v>52.299999999999969</v>
      </c>
      <c r="P27" s="12">
        <v>1210.5</v>
      </c>
      <c r="Q27" s="17">
        <f t="shared" ref="Q27" si="144">P26</f>
        <v>1150.5</v>
      </c>
      <c r="R27" s="19">
        <f t="shared" ref="R27" si="145">P27-Q27</f>
        <v>60</v>
      </c>
      <c r="S27" s="17">
        <f t="shared" si="91"/>
        <v>1</v>
      </c>
      <c r="T27" s="19">
        <f t="shared" ref="T27" si="146">R27*S27</f>
        <v>60</v>
      </c>
      <c r="U27" s="19">
        <v>0.123</v>
      </c>
      <c r="V27" s="19">
        <v>0.91</v>
      </c>
      <c r="W27" s="25"/>
    </row>
    <row r="28" spans="1:23" ht="15.75" x14ac:dyDescent="0.25">
      <c r="A28" s="12">
        <v>21</v>
      </c>
      <c r="B28" s="22" t="s">
        <v>277</v>
      </c>
      <c r="C28" s="19" t="s">
        <v>160</v>
      </c>
      <c r="D28" s="19" t="s">
        <v>124</v>
      </c>
      <c r="E28" s="12">
        <v>121.1</v>
      </c>
      <c r="F28" s="17">
        <f t="shared" ref="F28" si="147">E27</f>
        <v>117.4</v>
      </c>
      <c r="G28" s="19">
        <f t="shared" ref="G28" si="148">E28-F28</f>
        <v>3.6999999999999886</v>
      </c>
      <c r="H28" s="91">
        <f t="shared" si="108"/>
        <v>1</v>
      </c>
      <c r="I28" s="19">
        <f t="shared" ref="I28" si="149">G28*H28</f>
        <v>3.6999999999999886</v>
      </c>
      <c r="J28" s="12">
        <v>784.5</v>
      </c>
      <c r="K28" s="17">
        <f t="shared" ref="K28" si="150">J27</f>
        <v>742.6</v>
      </c>
      <c r="L28" s="19">
        <f t="shared" ref="L28" si="151">J28-K28</f>
        <v>41.899999999999977</v>
      </c>
      <c r="M28" s="17">
        <f t="shared" si="90"/>
        <v>1</v>
      </c>
      <c r="N28" s="19">
        <f t="shared" ref="N28" si="152">L28*M28</f>
        <v>41.899999999999977</v>
      </c>
      <c r="O28" s="17">
        <f t="shared" ref="O28" si="153">N28-I28</f>
        <v>38.199999999999989</v>
      </c>
      <c r="P28" s="12">
        <v>1258.3</v>
      </c>
      <c r="Q28" s="17">
        <f t="shared" ref="Q28" si="154">P27</f>
        <v>1210.5</v>
      </c>
      <c r="R28" s="19">
        <f t="shared" ref="R28" si="155">P28-Q28</f>
        <v>47.799999999999955</v>
      </c>
      <c r="S28" s="17">
        <f t="shared" si="91"/>
        <v>1</v>
      </c>
      <c r="T28" s="19">
        <f t="shared" ref="T28" si="156">R28*S28</f>
        <v>47.799999999999955</v>
      </c>
      <c r="U28" s="19">
        <v>0.182</v>
      </c>
      <c r="V28" s="19">
        <v>0.8</v>
      </c>
      <c r="W28" s="25"/>
    </row>
    <row r="29" spans="1:23" ht="15.75" x14ac:dyDescent="0.25">
      <c r="A29" s="12">
        <v>22</v>
      </c>
      <c r="B29" s="22" t="s">
        <v>278</v>
      </c>
      <c r="C29" s="19" t="s">
        <v>160</v>
      </c>
      <c r="D29" s="19" t="s">
        <v>124</v>
      </c>
      <c r="E29" s="12">
        <v>123.1</v>
      </c>
      <c r="F29" s="17">
        <f t="shared" ref="F29" si="157">E28</f>
        <v>121.1</v>
      </c>
      <c r="G29" s="19">
        <f t="shared" ref="G29" si="158">E29-F29</f>
        <v>2</v>
      </c>
      <c r="H29" s="91">
        <f t="shared" si="108"/>
        <v>1</v>
      </c>
      <c r="I29" s="19">
        <f t="shared" ref="I29" si="159">G29*H29</f>
        <v>2</v>
      </c>
      <c r="J29" s="12">
        <v>815.7</v>
      </c>
      <c r="K29" s="17">
        <f t="shared" ref="K29" si="160">J28</f>
        <v>784.5</v>
      </c>
      <c r="L29" s="19">
        <f t="shared" ref="L29" si="161">J29-K29</f>
        <v>31.200000000000045</v>
      </c>
      <c r="M29" s="17">
        <f t="shared" si="90"/>
        <v>1</v>
      </c>
      <c r="N29" s="19">
        <f t="shared" ref="N29" si="162">L29*M29</f>
        <v>31.200000000000045</v>
      </c>
      <c r="O29" s="17">
        <f t="shared" ref="O29" si="163">N29-I29</f>
        <v>29.200000000000045</v>
      </c>
      <c r="P29" s="12">
        <v>1292.3</v>
      </c>
      <c r="Q29" s="17">
        <f t="shared" ref="Q29" si="164">P28</f>
        <v>1258.3</v>
      </c>
      <c r="R29" s="19">
        <f t="shared" ref="R29" si="165">P29-Q29</f>
        <v>34</v>
      </c>
      <c r="S29" s="17">
        <f t="shared" si="91"/>
        <v>1</v>
      </c>
      <c r="T29" s="19">
        <f t="shared" ref="T29" si="166">R29*S29</f>
        <v>34</v>
      </c>
      <c r="U29" s="19">
        <v>0.16</v>
      </c>
      <c r="V29" s="19">
        <v>0.9</v>
      </c>
      <c r="W29" s="25"/>
    </row>
    <row r="30" spans="1:23" ht="15.75" x14ac:dyDescent="0.25">
      <c r="A30" s="164"/>
      <c r="B30" s="22"/>
      <c r="C30" s="161"/>
      <c r="D30" s="161"/>
      <c r="E30" s="164"/>
      <c r="F30" s="162"/>
      <c r="G30" s="161"/>
      <c r="H30" s="91"/>
      <c r="I30" s="161"/>
      <c r="J30" s="164"/>
      <c r="K30" s="162"/>
      <c r="L30" s="161"/>
      <c r="M30" s="162"/>
      <c r="N30" s="161"/>
      <c r="O30" s="162"/>
      <c r="P30" s="164"/>
      <c r="Q30" s="162"/>
      <c r="R30" s="161"/>
      <c r="S30" s="162"/>
      <c r="T30" s="161"/>
      <c r="U30" s="161"/>
      <c r="V30" s="161"/>
      <c r="W30" s="25"/>
    </row>
    <row r="31" spans="1:23" ht="15.75" x14ac:dyDescent="0.25">
      <c r="A31" s="12">
        <v>23</v>
      </c>
      <c r="B31" s="22" t="s">
        <v>279</v>
      </c>
      <c r="C31" s="19" t="s">
        <v>160</v>
      </c>
      <c r="D31" s="19" t="s">
        <v>124</v>
      </c>
      <c r="E31" s="12">
        <f>E29+3</f>
        <v>126.1</v>
      </c>
      <c r="F31" s="17">
        <f t="shared" ref="F31" si="167">E29</f>
        <v>123.1</v>
      </c>
      <c r="G31" s="19">
        <f t="shared" ref="G31" si="168">E31-F31</f>
        <v>3</v>
      </c>
      <c r="H31" s="91">
        <f>H29</f>
        <v>1</v>
      </c>
      <c r="I31" s="19">
        <f t="shared" ref="I31" si="169">G31*H31</f>
        <v>3</v>
      </c>
      <c r="J31" s="12">
        <f>J29+21</f>
        <v>836.7</v>
      </c>
      <c r="K31" s="17">
        <f t="shared" ref="K31" si="170">J29</f>
        <v>815.7</v>
      </c>
      <c r="L31" s="19">
        <f t="shared" ref="L31" si="171">J31-K31</f>
        <v>21</v>
      </c>
      <c r="M31" s="17">
        <f>M28</f>
        <v>1</v>
      </c>
      <c r="N31" s="19">
        <f t="shared" ref="N31" si="172">L31*M31</f>
        <v>21</v>
      </c>
      <c r="O31" s="17">
        <f t="shared" ref="O31" si="173">N31-I31</f>
        <v>18</v>
      </c>
      <c r="P31" s="12">
        <f>P29+24</f>
        <v>1316.3</v>
      </c>
      <c r="Q31" s="17">
        <f t="shared" ref="Q31" si="174">P29</f>
        <v>1292.3</v>
      </c>
      <c r="R31" s="19">
        <f t="shared" ref="R31" si="175">P31-Q31</f>
        <v>24</v>
      </c>
      <c r="S31" s="17">
        <f>S28</f>
        <v>1</v>
      </c>
      <c r="T31" s="19">
        <f t="shared" ref="T31" si="176">R31*S31</f>
        <v>24</v>
      </c>
      <c r="U31" s="19"/>
      <c r="V31" s="19"/>
      <c r="W31" s="25"/>
    </row>
    <row r="32" spans="1:23" ht="15.75" x14ac:dyDescent="0.25">
      <c r="A32" s="12">
        <v>24</v>
      </c>
      <c r="B32" s="22" t="s">
        <v>280</v>
      </c>
      <c r="C32" s="19" t="s">
        <v>160</v>
      </c>
      <c r="D32" s="19" t="s">
        <v>124</v>
      </c>
      <c r="E32" s="12">
        <f>E31+3.1</f>
        <v>129.19999999999999</v>
      </c>
      <c r="F32" s="17">
        <f t="shared" ref="F32" si="177">E31</f>
        <v>126.1</v>
      </c>
      <c r="G32" s="19">
        <f t="shared" ref="G32" si="178">E32-F32</f>
        <v>3.0999999999999943</v>
      </c>
      <c r="H32" s="91">
        <f t="shared" si="108"/>
        <v>1</v>
      </c>
      <c r="I32" s="19">
        <f t="shared" ref="I32" si="179">G32*H32</f>
        <v>3.0999999999999943</v>
      </c>
      <c r="J32" s="12">
        <f>J31+21</f>
        <v>857.7</v>
      </c>
      <c r="K32" s="17">
        <f t="shared" ref="K32" si="180">J31</f>
        <v>836.7</v>
      </c>
      <c r="L32" s="19">
        <f t="shared" ref="L32" si="181">J32-K32</f>
        <v>21</v>
      </c>
      <c r="M32" s="17">
        <f>M29</f>
        <v>1</v>
      </c>
      <c r="N32" s="19">
        <f t="shared" ref="N32" si="182">L32*M32</f>
        <v>21</v>
      </c>
      <c r="O32" s="17">
        <f t="shared" ref="O32" si="183">N32-I32</f>
        <v>17.900000000000006</v>
      </c>
      <c r="P32" s="12">
        <f>P31+24</f>
        <v>1340.3</v>
      </c>
      <c r="Q32" s="17">
        <f t="shared" ref="Q32" si="184">P31</f>
        <v>1316.3</v>
      </c>
      <c r="R32" s="19">
        <f t="shared" ref="R32" si="185">P32-Q32</f>
        <v>24</v>
      </c>
      <c r="S32" s="17">
        <f>S29</f>
        <v>1</v>
      </c>
      <c r="T32" s="19">
        <f t="shared" ref="T32" si="186">R32*S32</f>
        <v>24</v>
      </c>
      <c r="U32" s="19"/>
      <c r="V32" s="19"/>
      <c r="W32" s="25"/>
    </row>
    <row r="33" spans="1:23" ht="15.75" x14ac:dyDescent="0.25">
      <c r="A33" s="12">
        <v>25</v>
      </c>
      <c r="B33" s="22" t="s">
        <v>281</v>
      </c>
      <c r="C33" s="19" t="s">
        <v>160</v>
      </c>
      <c r="D33" s="19" t="s">
        <v>124</v>
      </c>
      <c r="E33" s="12">
        <v>132.4</v>
      </c>
      <c r="F33" s="17">
        <f t="shared" ref="F33" si="187">E32</f>
        <v>129.19999999999999</v>
      </c>
      <c r="G33" s="19">
        <f t="shared" ref="G33" si="188">E33-F33</f>
        <v>3.2000000000000171</v>
      </c>
      <c r="H33" s="91">
        <f t="shared" si="108"/>
        <v>1</v>
      </c>
      <c r="I33" s="19">
        <f t="shared" ref="I33" si="189">G33*H33</f>
        <v>3.2000000000000171</v>
      </c>
      <c r="J33" s="12">
        <v>879.8</v>
      </c>
      <c r="K33" s="17">
        <f t="shared" ref="K33" si="190">J32</f>
        <v>857.7</v>
      </c>
      <c r="L33" s="19">
        <f t="shared" ref="L33" si="191">J33-K33</f>
        <v>22.099999999999909</v>
      </c>
      <c r="M33" s="17">
        <f t="shared" si="90"/>
        <v>1</v>
      </c>
      <c r="N33" s="19">
        <f t="shared" ref="N33" si="192">L33*M33</f>
        <v>22.099999999999909</v>
      </c>
      <c r="O33" s="17">
        <f t="shared" ref="O33" si="193">N33-I33</f>
        <v>18.899999999999892</v>
      </c>
      <c r="P33" s="12">
        <v>1364.7</v>
      </c>
      <c r="Q33" s="17">
        <f t="shared" ref="Q33" si="194">P32</f>
        <v>1340.3</v>
      </c>
      <c r="R33" s="19">
        <f t="shared" ref="R33" si="195">P33-Q33</f>
        <v>24.400000000000091</v>
      </c>
      <c r="S33" s="17">
        <f t="shared" si="91"/>
        <v>1</v>
      </c>
      <c r="T33" s="19">
        <f t="shared" ref="T33" si="196">R33*S33</f>
        <v>24.400000000000091</v>
      </c>
      <c r="U33" s="19">
        <v>0.27</v>
      </c>
      <c r="V33" s="19">
        <v>0.91</v>
      </c>
      <c r="W33" s="25"/>
    </row>
    <row r="34" spans="1:23" ht="15.75" x14ac:dyDescent="0.25">
      <c r="A34" s="12">
        <v>26</v>
      </c>
      <c r="B34" s="22" t="s">
        <v>282</v>
      </c>
      <c r="C34" s="19" t="s">
        <v>160</v>
      </c>
      <c r="D34" s="19" t="s">
        <v>124</v>
      </c>
      <c r="E34" s="12">
        <v>135.30000000000001</v>
      </c>
      <c r="F34" s="17">
        <f t="shared" ref="F34" si="197">E33</f>
        <v>132.4</v>
      </c>
      <c r="G34" s="19">
        <f t="shared" ref="G34" si="198">E34-F34</f>
        <v>2.9000000000000057</v>
      </c>
      <c r="H34" s="91">
        <f t="shared" si="108"/>
        <v>1</v>
      </c>
      <c r="I34" s="19">
        <f t="shared" ref="I34" si="199">G34*H34</f>
        <v>2.9000000000000057</v>
      </c>
      <c r="J34" s="12">
        <v>897.5</v>
      </c>
      <c r="K34" s="17">
        <f t="shared" ref="K34" si="200">J33</f>
        <v>879.8</v>
      </c>
      <c r="L34" s="19">
        <f t="shared" ref="L34" si="201">J34-K34</f>
        <v>17.700000000000045</v>
      </c>
      <c r="M34" s="17">
        <f t="shared" si="90"/>
        <v>1</v>
      </c>
      <c r="N34" s="19">
        <f t="shared" ref="N34" si="202">L34*M34</f>
        <v>17.700000000000045</v>
      </c>
      <c r="O34" s="17">
        <f t="shared" ref="O34" si="203">N34-I34</f>
        <v>14.80000000000004</v>
      </c>
      <c r="P34" s="12">
        <f>P33+20</f>
        <v>1384.7</v>
      </c>
      <c r="Q34" s="17">
        <f t="shared" ref="Q34" si="204">P33</f>
        <v>1364.7</v>
      </c>
      <c r="R34" s="19">
        <f t="shared" ref="R34" si="205">P34-Q34</f>
        <v>20</v>
      </c>
      <c r="S34" s="17">
        <f t="shared" si="91"/>
        <v>1</v>
      </c>
      <c r="T34" s="19">
        <f t="shared" ref="T34" si="206">R34*S34</f>
        <v>20</v>
      </c>
      <c r="U34" s="19"/>
      <c r="V34" s="19"/>
      <c r="W34" s="25"/>
    </row>
    <row r="35" spans="1:23" ht="15.75" x14ac:dyDescent="0.25">
      <c r="A35" s="12">
        <v>27</v>
      </c>
      <c r="B35" s="22" t="s">
        <v>283</v>
      </c>
      <c r="C35" s="19" t="s">
        <v>160</v>
      </c>
      <c r="D35" s="19" t="s">
        <v>124</v>
      </c>
      <c r="E35" s="12">
        <v>137.1</v>
      </c>
      <c r="F35" s="17">
        <f t="shared" ref="F35" si="207">E34</f>
        <v>135.30000000000001</v>
      </c>
      <c r="G35" s="19">
        <f t="shared" ref="G35" si="208">E35-F35</f>
        <v>1.7999999999999829</v>
      </c>
      <c r="H35" s="91">
        <f t="shared" si="108"/>
        <v>1</v>
      </c>
      <c r="I35" s="19">
        <f t="shared" ref="I35" si="209">G35*H35</f>
        <v>1.7999999999999829</v>
      </c>
      <c r="J35" s="12">
        <v>922.3</v>
      </c>
      <c r="K35" s="17">
        <f t="shared" ref="K35" si="210">J34</f>
        <v>897.5</v>
      </c>
      <c r="L35" s="19">
        <f t="shared" ref="L35" si="211">J35-K35</f>
        <v>24.799999999999955</v>
      </c>
      <c r="M35" s="17">
        <f t="shared" si="90"/>
        <v>1</v>
      </c>
      <c r="N35" s="19">
        <f t="shared" ref="N35" si="212">L35*M35</f>
        <v>24.799999999999955</v>
      </c>
      <c r="O35" s="17">
        <f t="shared" ref="O35" si="213">N35-I35</f>
        <v>22.999999999999972</v>
      </c>
      <c r="P35" s="12">
        <v>1416.2</v>
      </c>
      <c r="Q35" s="17">
        <f t="shared" ref="Q35" si="214">P34</f>
        <v>1384.7</v>
      </c>
      <c r="R35" s="19">
        <f t="shared" ref="R35" si="215">P35-Q35</f>
        <v>31.5</v>
      </c>
      <c r="S35" s="17">
        <f t="shared" si="91"/>
        <v>1</v>
      </c>
      <c r="T35" s="19">
        <f t="shared" ref="T35" si="216">R35*S35</f>
        <v>31.5</v>
      </c>
      <c r="U35" s="19">
        <v>0.06</v>
      </c>
      <c r="V35" s="19">
        <v>0.92</v>
      </c>
      <c r="W35" s="25"/>
    </row>
    <row r="36" spans="1:23" ht="15.75" x14ac:dyDescent="0.25">
      <c r="A36" s="12">
        <v>28</v>
      </c>
      <c r="B36" s="22" t="s">
        <v>284</v>
      </c>
      <c r="C36" s="19" t="s">
        <v>160</v>
      </c>
      <c r="D36" s="19" t="s">
        <v>124</v>
      </c>
      <c r="E36" s="12">
        <v>142.9</v>
      </c>
      <c r="F36" s="17">
        <f t="shared" ref="F36" si="217">E35</f>
        <v>137.1</v>
      </c>
      <c r="G36" s="19">
        <f t="shared" ref="G36" si="218">E36-F36</f>
        <v>5.8000000000000114</v>
      </c>
      <c r="H36" s="91">
        <f t="shared" si="108"/>
        <v>1</v>
      </c>
      <c r="I36" s="19">
        <f t="shared" ref="I36" si="219">G36*H36</f>
        <v>5.8000000000000114</v>
      </c>
      <c r="J36" s="12">
        <v>958.2</v>
      </c>
      <c r="K36" s="17">
        <f t="shared" ref="K36" si="220">J35</f>
        <v>922.3</v>
      </c>
      <c r="L36" s="19">
        <f t="shared" ref="L36" si="221">J36-K36</f>
        <v>35.900000000000091</v>
      </c>
      <c r="M36" s="17">
        <f t="shared" si="90"/>
        <v>1</v>
      </c>
      <c r="N36" s="19">
        <f t="shared" ref="N36" si="222">L36*M36</f>
        <v>35.900000000000091</v>
      </c>
      <c r="O36" s="17">
        <f t="shared" ref="O36" si="223">N36-I36</f>
        <v>30.10000000000008</v>
      </c>
      <c r="P36" s="12">
        <v>1454.9</v>
      </c>
      <c r="Q36" s="17">
        <f t="shared" ref="Q36" si="224">P35</f>
        <v>1416.2</v>
      </c>
      <c r="R36" s="19">
        <f t="shared" ref="R36" si="225">P36-Q36</f>
        <v>38.700000000000045</v>
      </c>
      <c r="S36" s="17">
        <f t="shared" si="91"/>
        <v>1</v>
      </c>
      <c r="T36" s="19">
        <f t="shared" ref="T36" si="226">R36*S36</f>
        <v>38.700000000000045</v>
      </c>
      <c r="U36" s="19">
        <v>0.17</v>
      </c>
      <c r="V36" s="19">
        <v>0.9</v>
      </c>
      <c r="W36" s="25"/>
    </row>
    <row r="37" spans="1:23" ht="15.75" x14ac:dyDescent="0.25">
      <c r="A37" s="12">
        <v>29</v>
      </c>
      <c r="B37" s="22" t="s">
        <v>286</v>
      </c>
      <c r="C37" s="19" t="s">
        <v>160</v>
      </c>
      <c r="D37" s="19" t="s">
        <v>124</v>
      </c>
      <c r="E37" s="12">
        <v>145.69999999999999</v>
      </c>
      <c r="F37" s="17">
        <f t="shared" ref="F37" si="227">E36</f>
        <v>142.9</v>
      </c>
      <c r="G37" s="19">
        <f t="shared" ref="G37" si="228">E37-F37</f>
        <v>2.7999999999999829</v>
      </c>
      <c r="H37" s="91">
        <f t="shared" si="108"/>
        <v>1</v>
      </c>
      <c r="I37" s="19">
        <f t="shared" ref="I37" si="229">G37*H37</f>
        <v>2.7999999999999829</v>
      </c>
      <c r="J37" s="12">
        <v>1008</v>
      </c>
      <c r="K37" s="17">
        <f t="shared" ref="K37" si="230">J36</f>
        <v>958.2</v>
      </c>
      <c r="L37" s="19">
        <f t="shared" ref="L37" si="231">J37-K37</f>
        <v>49.799999999999955</v>
      </c>
      <c r="M37" s="17">
        <f t="shared" si="90"/>
        <v>1</v>
      </c>
      <c r="N37" s="19">
        <f t="shared" ref="N37" si="232">L37*M37</f>
        <v>49.799999999999955</v>
      </c>
      <c r="O37" s="17">
        <f t="shared" ref="O37" si="233">N37-I37</f>
        <v>46.999999999999972</v>
      </c>
      <c r="P37" s="12">
        <v>1505.3</v>
      </c>
      <c r="Q37" s="17">
        <f t="shared" ref="Q37" si="234">P36</f>
        <v>1454.9</v>
      </c>
      <c r="R37" s="19">
        <f t="shared" ref="R37" si="235">P37-Q37</f>
        <v>50.399999999999864</v>
      </c>
      <c r="S37" s="17">
        <f t="shared" si="91"/>
        <v>1</v>
      </c>
      <c r="T37" s="19">
        <f t="shared" ref="T37" si="236">R37*S37</f>
        <v>50.399999999999864</v>
      </c>
      <c r="U37" s="19">
        <v>0.18</v>
      </c>
      <c r="V37" s="19">
        <v>0.99</v>
      </c>
      <c r="W37" s="25"/>
    </row>
    <row r="38" spans="1:23" ht="15.75" x14ac:dyDescent="0.25">
      <c r="A38" s="12">
        <v>30</v>
      </c>
      <c r="B38" s="22" t="s">
        <v>288</v>
      </c>
      <c r="C38" s="19" t="s">
        <v>160</v>
      </c>
      <c r="D38" s="19" t="s">
        <v>124</v>
      </c>
      <c r="E38" s="12">
        <v>149.1</v>
      </c>
      <c r="F38" s="17">
        <f t="shared" ref="F38" si="237">E37</f>
        <v>145.69999999999999</v>
      </c>
      <c r="G38" s="19">
        <f t="shared" ref="G38" si="238">E38-F38</f>
        <v>3.4000000000000057</v>
      </c>
      <c r="H38" s="91">
        <f t="shared" si="108"/>
        <v>1</v>
      </c>
      <c r="I38" s="19">
        <f t="shared" ref="I38" si="239">G38*H38</f>
        <v>3.4000000000000057</v>
      </c>
      <c r="J38" s="12">
        <v>1045.8</v>
      </c>
      <c r="K38" s="17">
        <f t="shared" ref="K38" si="240">J37</f>
        <v>1008</v>
      </c>
      <c r="L38" s="19">
        <f t="shared" ref="L38" si="241">J38-K38</f>
        <v>37.799999999999955</v>
      </c>
      <c r="M38" s="17">
        <f t="shared" si="90"/>
        <v>1</v>
      </c>
      <c r="N38" s="19">
        <f t="shared" ref="N38" si="242">L38*M38</f>
        <v>37.799999999999955</v>
      </c>
      <c r="O38" s="17">
        <f t="shared" ref="O38" si="243">N38-I38</f>
        <v>34.399999999999949</v>
      </c>
      <c r="P38" s="12">
        <v>1555.1</v>
      </c>
      <c r="Q38" s="17">
        <f t="shared" ref="Q38" si="244">P37</f>
        <v>1505.3</v>
      </c>
      <c r="R38" s="19">
        <f t="shared" ref="R38" si="245">P38-Q38</f>
        <v>49.799999999999955</v>
      </c>
      <c r="S38" s="17">
        <f t="shared" si="91"/>
        <v>1</v>
      </c>
      <c r="T38" s="19">
        <f t="shared" ref="T38" si="246">R38*S38</f>
        <v>49.799999999999955</v>
      </c>
      <c r="U38" s="19">
        <v>0.18</v>
      </c>
      <c r="V38" s="19">
        <v>0.99</v>
      </c>
      <c r="W38" s="25"/>
    </row>
    <row r="39" spans="1:23" ht="15.75" x14ac:dyDescent="0.25">
      <c r="A39" s="12">
        <v>31</v>
      </c>
      <c r="B39" s="22" t="s">
        <v>289</v>
      </c>
      <c r="C39" s="19" t="s">
        <v>160</v>
      </c>
      <c r="D39" s="19" t="s">
        <v>124</v>
      </c>
      <c r="E39" s="12">
        <v>150.5</v>
      </c>
      <c r="F39" s="17">
        <f t="shared" ref="F39" si="247">E38</f>
        <v>149.1</v>
      </c>
      <c r="G39" s="19">
        <f t="shared" ref="G39" si="248">E39-F39</f>
        <v>1.4000000000000057</v>
      </c>
      <c r="H39" s="91">
        <f t="shared" si="108"/>
        <v>1</v>
      </c>
      <c r="I39" s="19">
        <f t="shared" ref="I39" si="249">G39*H39</f>
        <v>1.4000000000000057</v>
      </c>
      <c r="J39" s="12">
        <v>1115</v>
      </c>
      <c r="K39" s="17">
        <f t="shared" ref="K39" si="250">J38</f>
        <v>1045.8</v>
      </c>
      <c r="L39" s="19">
        <f t="shared" ref="L39" si="251">J39-K39</f>
        <v>69.200000000000045</v>
      </c>
      <c r="M39" s="17">
        <f t="shared" si="90"/>
        <v>1</v>
      </c>
      <c r="N39" s="19">
        <f t="shared" ref="N39" si="252">L39*M39</f>
        <v>69.200000000000045</v>
      </c>
      <c r="O39" s="17">
        <f t="shared" ref="O39" si="253">N39-I39</f>
        <v>67.80000000000004</v>
      </c>
      <c r="P39" s="12">
        <v>1625</v>
      </c>
      <c r="Q39" s="17">
        <f t="shared" ref="Q39" si="254">P38</f>
        <v>1555.1</v>
      </c>
      <c r="R39" s="19">
        <f t="shared" ref="R39" si="255">P39-Q39</f>
        <v>69.900000000000091</v>
      </c>
      <c r="S39" s="17">
        <f t="shared" si="91"/>
        <v>1</v>
      </c>
      <c r="T39" s="19">
        <f t="shared" ref="T39" si="256">R39*S39</f>
        <v>69.900000000000091</v>
      </c>
      <c r="U39" s="19">
        <v>0.18</v>
      </c>
      <c r="V39" s="19">
        <v>0.99</v>
      </c>
      <c r="W39" s="25"/>
    </row>
    <row r="40" spans="1:23" ht="15.75" x14ac:dyDescent="0.25">
      <c r="A40" s="12">
        <v>32</v>
      </c>
      <c r="B40" s="22" t="s">
        <v>290</v>
      </c>
      <c r="C40" s="19" t="s">
        <v>160</v>
      </c>
      <c r="D40" s="19" t="s">
        <v>124</v>
      </c>
      <c r="E40" s="12">
        <v>154.4</v>
      </c>
      <c r="F40" s="17">
        <f t="shared" ref="F40" si="257">E39</f>
        <v>150.5</v>
      </c>
      <c r="G40" s="19">
        <f t="shared" ref="G40" si="258">E40-F40</f>
        <v>3.9000000000000057</v>
      </c>
      <c r="H40" s="91">
        <f t="shared" si="108"/>
        <v>1</v>
      </c>
      <c r="I40" s="19">
        <f t="shared" ref="I40" si="259">G40*H40</f>
        <v>3.9000000000000057</v>
      </c>
      <c r="J40" s="12">
        <v>1180.8</v>
      </c>
      <c r="K40" s="17">
        <f t="shared" ref="K40" si="260">J39</f>
        <v>1115</v>
      </c>
      <c r="L40" s="19">
        <f t="shared" ref="L40" si="261">J40-K40</f>
        <v>65.799999999999955</v>
      </c>
      <c r="M40" s="17">
        <f t="shared" si="90"/>
        <v>1</v>
      </c>
      <c r="N40" s="19">
        <f t="shared" ref="N40" si="262">L40*M40</f>
        <v>65.799999999999955</v>
      </c>
      <c r="O40" s="17">
        <f t="shared" ref="O40" si="263">N40-I40</f>
        <v>61.899999999999949</v>
      </c>
      <c r="P40" s="12">
        <v>1695.2</v>
      </c>
      <c r="Q40" s="17">
        <f t="shared" ref="Q40" si="264">P39</f>
        <v>1625</v>
      </c>
      <c r="R40" s="19">
        <f t="shared" ref="R40" si="265">P40-Q40</f>
        <v>70.200000000000045</v>
      </c>
      <c r="S40" s="17">
        <f t="shared" si="91"/>
        <v>1</v>
      </c>
      <c r="T40" s="19">
        <f t="shared" ref="T40" si="266">R40*S40</f>
        <v>70.200000000000045</v>
      </c>
      <c r="U40" s="19">
        <v>1.23</v>
      </c>
      <c r="V40" s="19">
        <v>0.93</v>
      </c>
      <c r="W40" s="25"/>
    </row>
    <row r="41" spans="1:23" ht="15.75" x14ac:dyDescent="0.25">
      <c r="A41" s="12">
        <v>33</v>
      </c>
      <c r="B41" s="22" t="s">
        <v>291</v>
      </c>
      <c r="C41" s="19" t="s">
        <v>160</v>
      </c>
      <c r="D41" s="19" t="s">
        <v>124</v>
      </c>
      <c r="E41" s="12">
        <v>157.5</v>
      </c>
      <c r="F41" s="17">
        <f t="shared" ref="F41:F48" si="267">E40</f>
        <v>154.4</v>
      </c>
      <c r="G41" s="19">
        <f t="shared" ref="G41:G48" si="268">E41-F41</f>
        <v>3.0999999999999943</v>
      </c>
      <c r="H41" s="91">
        <f t="shared" si="108"/>
        <v>1</v>
      </c>
      <c r="I41" s="19">
        <f t="shared" ref="I41:I48" si="269">G41*H41</f>
        <v>3.0999999999999943</v>
      </c>
      <c r="J41" s="12">
        <v>1229.9000000000001</v>
      </c>
      <c r="K41" s="17">
        <f t="shared" ref="K41:K48" si="270">J40</f>
        <v>1180.8</v>
      </c>
      <c r="L41" s="19">
        <f t="shared" ref="L41:L48" si="271">J41-K41</f>
        <v>49.100000000000136</v>
      </c>
      <c r="M41" s="17">
        <f t="shared" si="90"/>
        <v>1</v>
      </c>
      <c r="N41" s="19">
        <f t="shared" ref="N41:N48" si="272">L41*M41</f>
        <v>49.100000000000136</v>
      </c>
      <c r="O41" s="17">
        <f t="shared" ref="O41:O48" si="273">N41-I41</f>
        <v>46.000000000000142</v>
      </c>
      <c r="P41" s="12">
        <v>1752.2</v>
      </c>
      <c r="Q41" s="17">
        <f t="shared" ref="Q41:Q48" si="274">P40</f>
        <v>1695.2</v>
      </c>
      <c r="R41" s="19">
        <f t="shared" ref="R41:R48" si="275">P41-Q41</f>
        <v>57</v>
      </c>
      <c r="S41" s="17">
        <f t="shared" si="91"/>
        <v>1</v>
      </c>
      <c r="T41" s="19">
        <f t="shared" ref="T41:T48" si="276">R41*S41</f>
        <v>57</v>
      </c>
      <c r="U41" s="19">
        <v>1.82</v>
      </c>
      <c r="V41" s="19">
        <v>0.93</v>
      </c>
      <c r="W41" s="25"/>
    </row>
    <row r="42" spans="1:23" ht="15.75" x14ac:dyDescent="0.25">
      <c r="A42" s="12">
        <v>34</v>
      </c>
      <c r="B42" s="22" t="s">
        <v>292</v>
      </c>
      <c r="C42" s="19" t="s">
        <v>160</v>
      </c>
      <c r="D42" s="19" t="s">
        <v>124</v>
      </c>
      <c r="E42" s="12">
        <v>162.80000000000001</v>
      </c>
      <c r="F42" s="17">
        <f t="shared" si="267"/>
        <v>157.5</v>
      </c>
      <c r="G42" s="19">
        <f t="shared" si="268"/>
        <v>5.3000000000000114</v>
      </c>
      <c r="H42" s="91">
        <f t="shared" si="108"/>
        <v>1</v>
      </c>
      <c r="I42" s="19">
        <f t="shared" si="269"/>
        <v>5.3000000000000114</v>
      </c>
      <c r="J42" s="12">
        <v>1269.7</v>
      </c>
      <c r="K42" s="17">
        <f t="shared" si="270"/>
        <v>1229.9000000000001</v>
      </c>
      <c r="L42" s="19">
        <f t="shared" si="271"/>
        <v>39.799999999999955</v>
      </c>
      <c r="M42" s="17">
        <f t="shared" si="90"/>
        <v>1</v>
      </c>
      <c r="N42" s="19">
        <f t="shared" si="272"/>
        <v>39.799999999999955</v>
      </c>
      <c r="O42" s="17">
        <f t="shared" si="273"/>
        <v>34.499999999999943</v>
      </c>
      <c r="P42" s="12">
        <v>1798</v>
      </c>
      <c r="Q42" s="17">
        <f t="shared" si="274"/>
        <v>1752.2</v>
      </c>
      <c r="R42" s="19">
        <f t="shared" si="275"/>
        <v>45.799999999999955</v>
      </c>
      <c r="S42" s="17">
        <f t="shared" si="91"/>
        <v>1</v>
      </c>
      <c r="T42" s="19">
        <f t="shared" si="276"/>
        <v>45.799999999999955</v>
      </c>
      <c r="U42" s="19">
        <v>1.23</v>
      </c>
      <c r="V42" s="19">
        <v>0.95</v>
      </c>
      <c r="W42" s="25"/>
    </row>
    <row r="43" spans="1:23" ht="15.75" x14ac:dyDescent="0.25">
      <c r="A43" s="164"/>
      <c r="B43" s="22"/>
      <c r="C43" s="161"/>
      <c r="D43" s="161"/>
      <c r="E43" s="164"/>
      <c r="F43" s="162"/>
      <c r="G43" s="161"/>
      <c r="H43" s="91"/>
      <c r="I43" s="161"/>
      <c r="J43" s="164"/>
      <c r="K43" s="162"/>
      <c r="L43" s="161"/>
      <c r="M43" s="162"/>
      <c r="N43" s="161"/>
      <c r="O43" s="162"/>
      <c r="P43" s="164"/>
      <c r="Q43" s="162"/>
      <c r="R43" s="161"/>
      <c r="S43" s="162"/>
      <c r="T43" s="161"/>
      <c r="U43" s="161"/>
      <c r="V43" s="161"/>
      <c r="W43" s="25"/>
    </row>
    <row r="44" spans="1:23" ht="15.75" x14ac:dyDescent="0.25">
      <c r="A44" s="12">
        <v>35</v>
      </c>
      <c r="B44" s="22" t="s">
        <v>293</v>
      </c>
      <c r="C44" s="19" t="s">
        <v>160</v>
      </c>
      <c r="D44" s="19" t="s">
        <v>124</v>
      </c>
      <c r="E44" s="12">
        <v>164</v>
      </c>
      <c r="F44" s="17">
        <f>E42</f>
        <v>162.80000000000001</v>
      </c>
      <c r="G44" s="19">
        <f t="shared" si="268"/>
        <v>1.1999999999999886</v>
      </c>
      <c r="H44" s="91">
        <f>H42</f>
        <v>1</v>
      </c>
      <c r="I44" s="19">
        <f t="shared" si="269"/>
        <v>1.1999999999999886</v>
      </c>
      <c r="J44" s="12">
        <f>J42+40</f>
        <v>1309.7</v>
      </c>
      <c r="K44" s="17">
        <f>J42</f>
        <v>1269.7</v>
      </c>
      <c r="L44" s="19">
        <f t="shared" si="271"/>
        <v>40</v>
      </c>
      <c r="M44" s="17">
        <f>M41</f>
        <v>1</v>
      </c>
      <c r="N44" s="19">
        <f t="shared" si="272"/>
        <v>40</v>
      </c>
      <c r="O44" s="17">
        <f t="shared" si="273"/>
        <v>38.800000000000011</v>
      </c>
      <c r="P44" s="12">
        <f>P42+40</f>
        <v>1838</v>
      </c>
      <c r="Q44" s="17">
        <f>P42</f>
        <v>1798</v>
      </c>
      <c r="R44" s="19">
        <f t="shared" si="275"/>
        <v>40</v>
      </c>
      <c r="S44" s="17">
        <f>S41</f>
        <v>1</v>
      </c>
      <c r="T44" s="19">
        <f t="shared" si="276"/>
        <v>40</v>
      </c>
      <c r="U44" s="19">
        <v>0.23</v>
      </c>
      <c r="V44" s="19">
        <v>0.95</v>
      </c>
      <c r="W44" s="25"/>
    </row>
    <row r="45" spans="1:23" ht="15.75" x14ac:dyDescent="0.25">
      <c r="A45" s="12">
        <v>36</v>
      </c>
      <c r="B45" s="22" t="s">
        <v>294</v>
      </c>
      <c r="C45" s="19" t="s">
        <v>160</v>
      </c>
      <c r="D45" s="19" t="s">
        <v>124</v>
      </c>
      <c r="E45" s="12">
        <v>170.3</v>
      </c>
      <c r="F45" s="17">
        <f t="shared" si="267"/>
        <v>164</v>
      </c>
      <c r="G45" s="19">
        <f t="shared" si="268"/>
        <v>6.3000000000000114</v>
      </c>
      <c r="H45" s="91">
        <f t="shared" si="108"/>
        <v>1</v>
      </c>
      <c r="I45" s="19">
        <f t="shared" si="269"/>
        <v>6.3000000000000114</v>
      </c>
      <c r="J45" s="12">
        <v>1323.1</v>
      </c>
      <c r="K45" s="17">
        <f t="shared" si="270"/>
        <v>1309.7</v>
      </c>
      <c r="L45" s="19">
        <f t="shared" si="271"/>
        <v>13.399999999999864</v>
      </c>
      <c r="M45" s="17">
        <f>M42</f>
        <v>1</v>
      </c>
      <c r="N45" s="19">
        <f t="shared" si="272"/>
        <v>13.399999999999864</v>
      </c>
      <c r="O45" s="17">
        <f t="shared" si="273"/>
        <v>7.0999999999998522</v>
      </c>
      <c r="P45" s="12">
        <v>1859.3</v>
      </c>
      <c r="Q45" s="17">
        <f t="shared" si="274"/>
        <v>1838</v>
      </c>
      <c r="R45" s="19">
        <f t="shared" si="275"/>
        <v>21.299999999999955</v>
      </c>
      <c r="S45" s="17">
        <f>S42</f>
        <v>1</v>
      </c>
      <c r="T45" s="19">
        <f t="shared" si="276"/>
        <v>21.299999999999955</v>
      </c>
      <c r="U45" s="19">
        <v>0.12</v>
      </c>
      <c r="V45" s="19">
        <v>0.95</v>
      </c>
      <c r="W45" s="25"/>
    </row>
    <row r="46" spans="1:23" ht="15.75" x14ac:dyDescent="0.25">
      <c r="A46" s="12">
        <v>37</v>
      </c>
      <c r="B46" s="22" t="s">
        <v>295</v>
      </c>
      <c r="C46" s="19" t="s">
        <v>160</v>
      </c>
      <c r="D46" s="19" t="s">
        <v>124</v>
      </c>
      <c r="E46" s="12">
        <v>177.4</v>
      </c>
      <c r="F46" s="17">
        <f t="shared" si="267"/>
        <v>170.3</v>
      </c>
      <c r="G46" s="19">
        <f t="shared" si="268"/>
        <v>7.0999999999999943</v>
      </c>
      <c r="H46" s="91">
        <f t="shared" si="108"/>
        <v>1</v>
      </c>
      <c r="I46" s="19">
        <f t="shared" si="269"/>
        <v>7.0999999999999943</v>
      </c>
      <c r="J46" s="12">
        <v>1346.5</v>
      </c>
      <c r="K46" s="17">
        <f t="shared" si="270"/>
        <v>1323.1</v>
      </c>
      <c r="L46" s="19">
        <f t="shared" si="271"/>
        <v>23.400000000000091</v>
      </c>
      <c r="M46" s="17">
        <f t="shared" si="90"/>
        <v>1</v>
      </c>
      <c r="N46" s="19">
        <f t="shared" si="272"/>
        <v>23.400000000000091</v>
      </c>
      <c r="O46" s="17">
        <f t="shared" si="273"/>
        <v>16.300000000000097</v>
      </c>
      <c r="P46" s="12">
        <v>1890.9</v>
      </c>
      <c r="Q46" s="17">
        <f t="shared" si="274"/>
        <v>1859.3</v>
      </c>
      <c r="R46" s="19">
        <f t="shared" si="275"/>
        <v>31.600000000000136</v>
      </c>
      <c r="S46" s="17">
        <f t="shared" si="91"/>
        <v>1</v>
      </c>
      <c r="T46" s="19">
        <f t="shared" si="276"/>
        <v>31.600000000000136</v>
      </c>
      <c r="U46" s="19">
        <v>0.3</v>
      </c>
      <c r="V46" s="19">
        <v>0.92</v>
      </c>
      <c r="W46" s="25"/>
    </row>
    <row r="47" spans="1:23" ht="15.75" x14ac:dyDescent="0.25">
      <c r="A47" s="12">
        <v>38</v>
      </c>
      <c r="B47" s="22" t="s">
        <v>296</v>
      </c>
      <c r="C47" s="19" t="s">
        <v>160</v>
      </c>
      <c r="D47" s="19" t="s">
        <v>124</v>
      </c>
      <c r="E47" s="12">
        <v>185.8</v>
      </c>
      <c r="F47" s="17">
        <f t="shared" si="267"/>
        <v>177.4</v>
      </c>
      <c r="G47" s="19">
        <f t="shared" si="268"/>
        <v>8.4000000000000057</v>
      </c>
      <c r="H47" s="91">
        <f t="shared" si="108"/>
        <v>1</v>
      </c>
      <c r="I47" s="19">
        <f t="shared" si="269"/>
        <v>8.4000000000000057</v>
      </c>
      <c r="J47" s="12">
        <v>1372.1</v>
      </c>
      <c r="K47" s="17">
        <f t="shared" si="270"/>
        <v>1346.5</v>
      </c>
      <c r="L47" s="19">
        <f t="shared" si="271"/>
        <v>25.599999999999909</v>
      </c>
      <c r="M47" s="17">
        <f t="shared" si="90"/>
        <v>1</v>
      </c>
      <c r="N47" s="19">
        <f t="shared" si="272"/>
        <v>25.599999999999909</v>
      </c>
      <c r="O47" s="17">
        <f t="shared" si="273"/>
        <v>17.199999999999903</v>
      </c>
      <c r="P47" s="12">
        <v>1922.1</v>
      </c>
      <c r="Q47" s="17">
        <f t="shared" si="274"/>
        <v>1890.9</v>
      </c>
      <c r="R47" s="19">
        <f t="shared" si="275"/>
        <v>31.199999999999818</v>
      </c>
      <c r="S47" s="17">
        <f t="shared" si="91"/>
        <v>1</v>
      </c>
      <c r="T47" s="19">
        <f t="shared" si="276"/>
        <v>31.199999999999818</v>
      </c>
      <c r="U47" s="19">
        <v>0.18</v>
      </c>
      <c r="V47" s="19">
        <v>0.9</v>
      </c>
      <c r="W47" s="25"/>
    </row>
    <row r="48" spans="1:23" ht="15.75" x14ac:dyDescent="0.25">
      <c r="A48" s="12">
        <v>39</v>
      </c>
      <c r="B48" s="22" t="s">
        <v>297</v>
      </c>
      <c r="C48" s="19" t="s">
        <v>160</v>
      </c>
      <c r="D48" s="19" t="s">
        <v>124</v>
      </c>
      <c r="E48" s="12">
        <v>191.9</v>
      </c>
      <c r="F48" s="17">
        <f t="shared" si="267"/>
        <v>185.8</v>
      </c>
      <c r="G48" s="19">
        <f t="shared" si="268"/>
        <v>6.0999999999999943</v>
      </c>
      <c r="H48" s="91">
        <f t="shared" si="108"/>
        <v>1</v>
      </c>
      <c r="I48" s="19">
        <f t="shared" si="269"/>
        <v>6.0999999999999943</v>
      </c>
      <c r="J48" s="12">
        <v>1400.3</v>
      </c>
      <c r="K48" s="17">
        <f t="shared" si="270"/>
        <v>1372.1</v>
      </c>
      <c r="L48" s="19">
        <f t="shared" si="271"/>
        <v>28.200000000000045</v>
      </c>
      <c r="M48" s="17">
        <f t="shared" si="90"/>
        <v>1</v>
      </c>
      <c r="N48" s="19">
        <f t="shared" si="272"/>
        <v>28.200000000000045</v>
      </c>
      <c r="O48" s="17">
        <f t="shared" si="273"/>
        <v>22.100000000000051</v>
      </c>
      <c r="P48" s="12">
        <v>1958.2</v>
      </c>
      <c r="Q48" s="17">
        <f t="shared" si="274"/>
        <v>1922.1</v>
      </c>
      <c r="R48" s="19">
        <f t="shared" si="275"/>
        <v>36.100000000000136</v>
      </c>
      <c r="S48" s="17">
        <f t="shared" si="91"/>
        <v>1</v>
      </c>
      <c r="T48" s="19">
        <f t="shared" si="276"/>
        <v>36.100000000000136</v>
      </c>
      <c r="U48" s="19">
        <v>0.18</v>
      </c>
      <c r="V48" s="19">
        <v>0.95</v>
      </c>
      <c r="W48" s="25"/>
    </row>
    <row r="49" spans="1:23" ht="15.75" x14ac:dyDescent="0.25">
      <c r="A49" s="12">
        <v>40</v>
      </c>
      <c r="B49" s="22" t="s">
        <v>298</v>
      </c>
      <c r="C49" s="19" t="s">
        <v>160</v>
      </c>
      <c r="D49" s="19" t="s">
        <v>124</v>
      </c>
      <c r="E49" s="12">
        <v>195.9</v>
      </c>
      <c r="F49" s="17">
        <f t="shared" ref="F49" si="277">E48</f>
        <v>191.9</v>
      </c>
      <c r="G49" s="19">
        <f t="shared" ref="G49" si="278">E49-F49</f>
        <v>4</v>
      </c>
      <c r="H49" s="91">
        <f t="shared" si="108"/>
        <v>1</v>
      </c>
      <c r="I49" s="19">
        <f t="shared" ref="I49" si="279">G49*H49</f>
        <v>4</v>
      </c>
      <c r="J49" s="12">
        <v>1425.3</v>
      </c>
      <c r="K49" s="17">
        <f t="shared" ref="K49" si="280">J48</f>
        <v>1400.3</v>
      </c>
      <c r="L49" s="19">
        <f t="shared" ref="L49" si="281">J49-K49</f>
        <v>25</v>
      </c>
      <c r="M49" s="17">
        <f t="shared" si="90"/>
        <v>1</v>
      </c>
      <c r="N49" s="19">
        <f t="shared" ref="N49" si="282">L49*M49</f>
        <v>25</v>
      </c>
      <c r="O49" s="17">
        <f t="shared" ref="O49" si="283">N49-I49</f>
        <v>21</v>
      </c>
      <c r="P49" s="12">
        <v>1988.2</v>
      </c>
      <c r="Q49" s="17">
        <f t="shared" ref="Q49" si="284">P48</f>
        <v>1958.2</v>
      </c>
      <c r="R49" s="19">
        <f t="shared" ref="R49" si="285">P49-Q49</f>
        <v>30</v>
      </c>
      <c r="S49" s="17">
        <f t="shared" si="91"/>
        <v>1</v>
      </c>
      <c r="T49" s="19">
        <f t="shared" ref="T49" si="286">R49*S49</f>
        <v>30</v>
      </c>
      <c r="U49" s="19">
        <v>0.16</v>
      </c>
      <c r="V49" s="19">
        <v>0.95</v>
      </c>
      <c r="W49" s="25"/>
    </row>
    <row r="50" spans="1:23" ht="15.75" x14ac:dyDescent="0.25">
      <c r="A50" s="12">
        <v>41</v>
      </c>
      <c r="B50" s="22" t="s">
        <v>299</v>
      </c>
      <c r="C50" s="19" t="s">
        <v>160</v>
      </c>
      <c r="D50" s="19" t="s">
        <v>124</v>
      </c>
      <c r="E50" s="12">
        <v>200.8</v>
      </c>
      <c r="F50" s="17">
        <f t="shared" ref="F50" si="287">E49</f>
        <v>195.9</v>
      </c>
      <c r="G50" s="19">
        <f t="shared" ref="G50" si="288">E50-F50</f>
        <v>4.9000000000000057</v>
      </c>
      <c r="H50" s="91">
        <f t="shared" si="108"/>
        <v>1</v>
      </c>
      <c r="I50" s="19">
        <f t="shared" ref="I50" si="289">G50*H50</f>
        <v>4.9000000000000057</v>
      </c>
      <c r="J50" s="12">
        <v>1508.1</v>
      </c>
      <c r="K50" s="17">
        <f t="shared" ref="K50" si="290">J49</f>
        <v>1425.3</v>
      </c>
      <c r="L50" s="19">
        <f t="shared" ref="L50" si="291">J50-K50</f>
        <v>82.799999999999955</v>
      </c>
      <c r="M50" s="17">
        <f t="shared" si="90"/>
        <v>1</v>
      </c>
      <c r="N50" s="19">
        <f t="shared" ref="N50" si="292">L50*M50</f>
        <v>82.799999999999955</v>
      </c>
      <c r="O50" s="17">
        <f t="shared" ref="O50" si="293">N50-I50</f>
        <v>77.899999999999949</v>
      </c>
      <c r="P50" s="12">
        <v>2081.3000000000002</v>
      </c>
      <c r="Q50" s="17">
        <f t="shared" ref="Q50" si="294">P49</f>
        <v>1988.2</v>
      </c>
      <c r="R50" s="19">
        <f t="shared" ref="R50" si="295">P50-Q50</f>
        <v>93.100000000000136</v>
      </c>
      <c r="S50" s="17">
        <f t="shared" si="91"/>
        <v>1</v>
      </c>
      <c r="T50" s="19">
        <f t="shared" ref="T50" si="296">R50*S50</f>
        <v>93.100000000000136</v>
      </c>
      <c r="U50" s="19">
        <v>0.18</v>
      </c>
      <c r="V50" s="19">
        <v>0.95</v>
      </c>
      <c r="W50" s="25"/>
    </row>
    <row r="51" spans="1:23" ht="15.75" x14ac:dyDescent="0.25">
      <c r="A51" s="12">
        <v>42</v>
      </c>
      <c r="B51" s="22" t="s">
        <v>300</v>
      </c>
      <c r="C51" s="19" t="s">
        <v>160</v>
      </c>
      <c r="D51" s="19" t="s">
        <v>124</v>
      </c>
      <c r="E51" s="12">
        <v>203.1</v>
      </c>
      <c r="F51" s="17">
        <f t="shared" ref="F51" si="297">E50</f>
        <v>200.8</v>
      </c>
      <c r="G51" s="19">
        <f t="shared" ref="G51" si="298">E51-F51</f>
        <v>2.2999999999999829</v>
      </c>
      <c r="H51" s="91">
        <f t="shared" si="108"/>
        <v>1</v>
      </c>
      <c r="I51" s="19">
        <f t="shared" ref="I51" si="299">G51*H51</f>
        <v>2.2999999999999829</v>
      </c>
      <c r="J51" s="12">
        <v>1570.5</v>
      </c>
      <c r="K51" s="17">
        <f t="shared" ref="K51" si="300">J50</f>
        <v>1508.1</v>
      </c>
      <c r="L51" s="19">
        <f t="shared" ref="L51" si="301">J51-K51</f>
        <v>62.400000000000091</v>
      </c>
      <c r="M51" s="17">
        <f t="shared" si="90"/>
        <v>1</v>
      </c>
      <c r="N51" s="19">
        <f t="shared" ref="N51" si="302">L51*M51</f>
        <v>62.400000000000091</v>
      </c>
      <c r="O51" s="17">
        <f t="shared" ref="O51" si="303">N51-I51</f>
        <v>60.100000000000108</v>
      </c>
      <c r="P51" s="12">
        <v>2151.6999999999998</v>
      </c>
      <c r="Q51" s="17">
        <f t="shared" ref="Q51" si="304">P50</f>
        <v>2081.3000000000002</v>
      </c>
      <c r="R51" s="19">
        <f t="shared" ref="R51" si="305">P51-Q51</f>
        <v>70.399999999999636</v>
      </c>
      <c r="S51" s="17">
        <f t="shared" si="91"/>
        <v>1</v>
      </c>
      <c r="T51" s="19">
        <f t="shared" ref="T51" si="306">R51*S51</f>
        <v>70.399999999999636</v>
      </c>
      <c r="U51" s="19">
        <v>0.27</v>
      </c>
      <c r="V51" s="19">
        <v>0.97</v>
      </c>
      <c r="W51" s="25"/>
    </row>
    <row r="52" spans="1:23" ht="15.75" x14ac:dyDescent="0.25">
      <c r="A52" s="105">
        <v>43</v>
      </c>
      <c r="B52" s="22" t="s">
        <v>301</v>
      </c>
      <c r="C52" s="111" t="s">
        <v>160</v>
      </c>
      <c r="D52" s="111" t="s">
        <v>124</v>
      </c>
      <c r="E52" s="105">
        <v>206.1</v>
      </c>
      <c r="F52" s="106">
        <f t="shared" ref="F52:F54" si="307">E51</f>
        <v>203.1</v>
      </c>
      <c r="G52" s="111">
        <f t="shared" ref="G52:G54" si="308">E52-F52</f>
        <v>3</v>
      </c>
      <c r="H52" s="91">
        <f t="shared" si="108"/>
        <v>1</v>
      </c>
      <c r="I52" s="111">
        <f t="shared" ref="I52:I54" si="309">G52*H52</f>
        <v>3</v>
      </c>
      <c r="J52" s="105">
        <v>1635.1</v>
      </c>
      <c r="K52" s="106">
        <f t="shared" ref="K52:K54" si="310">J51</f>
        <v>1570.5</v>
      </c>
      <c r="L52" s="111">
        <f t="shared" ref="L52:L54" si="311">J52-K52</f>
        <v>64.599999999999909</v>
      </c>
      <c r="M52" s="106">
        <f t="shared" si="90"/>
        <v>1</v>
      </c>
      <c r="N52" s="111">
        <f t="shared" ref="N52:N54" si="312">L52*M52</f>
        <v>64.599999999999909</v>
      </c>
      <c r="O52" s="106">
        <f t="shared" ref="O52:O54" si="313">N52-I52</f>
        <v>61.599999999999909</v>
      </c>
      <c r="P52" s="105">
        <v>2229.1</v>
      </c>
      <c r="Q52" s="106">
        <f t="shared" ref="Q52:Q54" si="314">P51</f>
        <v>2151.6999999999998</v>
      </c>
      <c r="R52" s="111">
        <f t="shared" ref="R52:R54" si="315">P52-Q52</f>
        <v>77.400000000000091</v>
      </c>
      <c r="S52" s="106">
        <f t="shared" si="91"/>
        <v>1</v>
      </c>
      <c r="T52" s="111">
        <f t="shared" ref="T52:T54" si="316">R52*S52</f>
        <v>77.400000000000091</v>
      </c>
      <c r="U52" s="111">
        <v>0.12</v>
      </c>
      <c r="V52" s="111">
        <v>0.97</v>
      </c>
      <c r="W52" s="25"/>
    </row>
    <row r="53" spans="1:23" ht="15.75" x14ac:dyDescent="0.25">
      <c r="A53" s="105">
        <v>44</v>
      </c>
      <c r="B53" s="22" t="s">
        <v>302</v>
      </c>
      <c r="C53" s="111" t="s">
        <v>160</v>
      </c>
      <c r="D53" s="111" t="s">
        <v>124</v>
      </c>
      <c r="E53" s="105">
        <v>208.2</v>
      </c>
      <c r="F53" s="106">
        <f t="shared" si="307"/>
        <v>206.1</v>
      </c>
      <c r="G53" s="111">
        <f t="shared" si="308"/>
        <v>2.0999999999999943</v>
      </c>
      <c r="H53" s="91">
        <f t="shared" si="108"/>
        <v>1</v>
      </c>
      <c r="I53" s="111">
        <f t="shared" si="309"/>
        <v>2.0999999999999943</v>
      </c>
      <c r="J53" s="105">
        <v>1715.4</v>
      </c>
      <c r="K53" s="106">
        <f t="shared" si="310"/>
        <v>1635.1</v>
      </c>
      <c r="L53" s="111">
        <f t="shared" si="311"/>
        <v>80.300000000000182</v>
      </c>
      <c r="M53" s="106">
        <f t="shared" si="90"/>
        <v>1</v>
      </c>
      <c r="N53" s="111">
        <f t="shared" si="312"/>
        <v>80.300000000000182</v>
      </c>
      <c r="O53" s="106">
        <f t="shared" si="313"/>
        <v>78.200000000000188</v>
      </c>
      <c r="P53" s="105">
        <v>2314.9</v>
      </c>
      <c r="Q53" s="106">
        <f t="shared" si="314"/>
        <v>2229.1</v>
      </c>
      <c r="R53" s="111">
        <f t="shared" si="315"/>
        <v>85.800000000000182</v>
      </c>
      <c r="S53" s="106">
        <f t="shared" si="91"/>
        <v>1</v>
      </c>
      <c r="T53" s="111">
        <f t="shared" si="316"/>
        <v>85.800000000000182</v>
      </c>
      <c r="U53" s="111">
        <v>0.21</v>
      </c>
      <c r="V53" s="111">
        <v>0.93</v>
      </c>
      <c r="W53" s="25"/>
    </row>
    <row r="54" spans="1:23" ht="15.75" x14ac:dyDescent="0.25">
      <c r="A54" s="105">
        <v>45</v>
      </c>
      <c r="B54" s="22" t="s">
        <v>303</v>
      </c>
      <c r="C54" s="111" t="s">
        <v>160</v>
      </c>
      <c r="D54" s="111" t="s">
        <v>124</v>
      </c>
      <c r="E54" s="105">
        <v>209.4</v>
      </c>
      <c r="F54" s="106">
        <f t="shared" si="307"/>
        <v>208.2</v>
      </c>
      <c r="G54" s="111">
        <f t="shared" si="308"/>
        <v>1.2000000000000171</v>
      </c>
      <c r="H54" s="91">
        <f t="shared" si="108"/>
        <v>1</v>
      </c>
      <c r="I54" s="111">
        <f t="shared" si="309"/>
        <v>1.2000000000000171</v>
      </c>
      <c r="J54" s="105">
        <v>1781.2</v>
      </c>
      <c r="K54" s="106">
        <f t="shared" si="310"/>
        <v>1715.4</v>
      </c>
      <c r="L54" s="111">
        <f t="shared" si="311"/>
        <v>65.799999999999955</v>
      </c>
      <c r="M54" s="106">
        <f t="shared" si="90"/>
        <v>1</v>
      </c>
      <c r="N54" s="111">
        <f t="shared" si="312"/>
        <v>65.799999999999955</v>
      </c>
      <c r="O54" s="106">
        <f t="shared" si="313"/>
        <v>64.599999999999937</v>
      </c>
      <c r="P54" s="105">
        <v>2393</v>
      </c>
      <c r="Q54" s="106">
        <f t="shared" si="314"/>
        <v>2314.9</v>
      </c>
      <c r="R54" s="111">
        <f t="shared" si="315"/>
        <v>78.099999999999909</v>
      </c>
      <c r="S54" s="106">
        <f t="shared" si="91"/>
        <v>1</v>
      </c>
      <c r="T54" s="111">
        <f t="shared" si="316"/>
        <v>78.099999999999909</v>
      </c>
      <c r="U54" s="111">
        <v>0.18</v>
      </c>
      <c r="V54" s="111">
        <v>0.98</v>
      </c>
      <c r="W54" s="25"/>
    </row>
    <row r="55" spans="1:23" ht="15.75" x14ac:dyDescent="0.25">
      <c r="A55" s="125">
        <v>46</v>
      </c>
      <c r="B55" s="116" t="s">
        <v>305</v>
      </c>
      <c r="C55" s="118" t="s">
        <v>160</v>
      </c>
      <c r="D55" s="118" t="s">
        <v>124</v>
      </c>
      <c r="E55" s="120">
        <v>214.2</v>
      </c>
      <c r="F55" s="119">
        <f t="shared" ref="F55" si="317">E54</f>
        <v>209.4</v>
      </c>
      <c r="G55" s="118">
        <f t="shared" ref="G55" si="318">E55-F55</f>
        <v>4.7999999999999829</v>
      </c>
      <c r="H55" s="91">
        <f t="shared" si="108"/>
        <v>1</v>
      </c>
      <c r="I55" s="118">
        <f t="shared" ref="I55" si="319">G55*H55</f>
        <v>4.7999999999999829</v>
      </c>
      <c r="J55" s="120">
        <v>1831.6</v>
      </c>
      <c r="K55" s="119">
        <f t="shared" ref="K55" si="320">J54</f>
        <v>1781.2</v>
      </c>
      <c r="L55" s="118">
        <f t="shared" ref="L55" si="321">J55-K55</f>
        <v>50.399999999999864</v>
      </c>
      <c r="M55" s="119">
        <f t="shared" si="90"/>
        <v>1</v>
      </c>
      <c r="N55" s="118">
        <f t="shared" ref="N55" si="322">L55*M55</f>
        <v>50.399999999999864</v>
      </c>
      <c r="O55" s="119">
        <f t="shared" ref="O55" si="323">N55-I55</f>
        <v>45.599999999999881</v>
      </c>
      <c r="P55" s="120">
        <v>2456.8000000000002</v>
      </c>
      <c r="Q55" s="119">
        <f t="shared" ref="Q55" si="324">P54</f>
        <v>2393</v>
      </c>
      <c r="R55" s="118">
        <f t="shared" ref="R55" si="325">P55-Q55</f>
        <v>63.800000000000182</v>
      </c>
      <c r="S55" s="119">
        <f t="shared" si="91"/>
        <v>1</v>
      </c>
      <c r="T55" s="118">
        <f t="shared" ref="T55" si="326">R55*S55</f>
        <v>63.800000000000182</v>
      </c>
      <c r="U55" s="118">
        <v>0.18</v>
      </c>
      <c r="V55" s="118">
        <v>0.98</v>
      </c>
      <c r="W55" s="25"/>
    </row>
    <row r="56" spans="1:23" ht="15.75" x14ac:dyDescent="0.25">
      <c r="A56" s="164"/>
      <c r="B56" s="116"/>
      <c r="C56" s="161"/>
      <c r="D56" s="161"/>
      <c r="E56" s="164"/>
      <c r="F56" s="162"/>
      <c r="G56" s="161"/>
      <c r="H56" s="91"/>
      <c r="I56" s="161"/>
      <c r="J56" s="164"/>
      <c r="K56" s="162"/>
      <c r="L56" s="161"/>
      <c r="M56" s="162"/>
      <c r="N56" s="161"/>
      <c r="O56" s="162"/>
      <c r="P56" s="164"/>
      <c r="Q56" s="162"/>
      <c r="R56" s="161"/>
      <c r="S56" s="162"/>
      <c r="T56" s="161"/>
      <c r="U56" s="161"/>
      <c r="V56" s="161"/>
      <c r="W56" s="25"/>
    </row>
    <row r="57" spans="1:23" ht="15.75" x14ac:dyDescent="0.25">
      <c r="A57" s="126">
        <v>47</v>
      </c>
      <c r="B57" s="116" t="s">
        <v>306</v>
      </c>
      <c r="C57" s="129" t="s">
        <v>160</v>
      </c>
      <c r="D57" s="129" t="s">
        <v>124</v>
      </c>
      <c r="E57" s="126">
        <f>E55+3</f>
        <v>217.2</v>
      </c>
      <c r="F57" s="127">
        <f t="shared" ref="F57" si="327">E55</f>
        <v>214.2</v>
      </c>
      <c r="G57" s="129">
        <f t="shared" ref="G57" si="328">E57-F57</f>
        <v>3</v>
      </c>
      <c r="H57" s="91">
        <f>H55</f>
        <v>1</v>
      </c>
      <c r="I57" s="129">
        <f t="shared" ref="I57" si="329">G57*H57</f>
        <v>3</v>
      </c>
      <c r="J57" s="126">
        <f>J55+40</f>
        <v>1871.6</v>
      </c>
      <c r="K57" s="127">
        <f t="shared" ref="K57" si="330">J55</f>
        <v>1831.6</v>
      </c>
      <c r="L57" s="129">
        <f t="shared" ref="L57" si="331">J57-K57</f>
        <v>40</v>
      </c>
      <c r="M57" s="127">
        <f>M54</f>
        <v>1</v>
      </c>
      <c r="N57" s="129">
        <f t="shared" ref="N57" si="332">L57*M57</f>
        <v>40</v>
      </c>
      <c r="O57" s="127">
        <f t="shared" ref="O57" si="333">N57-I57</f>
        <v>37</v>
      </c>
      <c r="P57" s="126">
        <f>P55+46</f>
        <v>2502.8000000000002</v>
      </c>
      <c r="Q57" s="127">
        <f t="shared" ref="Q57" si="334">P55</f>
        <v>2456.8000000000002</v>
      </c>
      <c r="R57" s="129">
        <f t="shared" ref="R57" si="335">P57-Q57</f>
        <v>46</v>
      </c>
      <c r="S57" s="127">
        <f>S54</f>
        <v>1</v>
      </c>
      <c r="T57" s="129">
        <f t="shared" ref="T57" si="336">R57*S57</f>
        <v>46</v>
      </c>
      <c r="U57" s="129">
        <v>0.15</v>
      </c>
      <c r="V57" s="129">
        <v>0.99</v>
      </c>
      <c r="W57" s="25"/>
    </row>
    <row r="58" spans="1:23" ht="15.75" x14ac:dyDescent="0.25">
      <c r="A58" s="126">
        <v>48</v>
      </c>
      <c r="B58" s="116" t="s">
        <v>307</v>
      </c>
      <c r="C58" s="129" t="s">
        <v>160</v>
      </c>
      <c r="D58" s="129" t="s">
        <v>124</v>
      </c>
      <c r="E58" s="126">
        <v>220.4</v>
      </c>
      <c r="F58" s="127">
        <f t="shared" ref="F58" si="337">E57</f>
        <v>217.2</v>
      </c>
      <c r="G58" s="129">
        <f t="shared" ref="G58" si="338">E58-F58</f>
        <v>3.2000000000000171</v>
      </c>
      <c r="H58" s="91">
        <f t="shared" si="108"/>
        <v>1</v>
      </c>
      <c r="I58" s="129">
        <f t="shared" ref="I58" si="339">G58*H58</f>
        <v>3.2000000000000171</v>
      </c>
      <c r="J58" s="126">
        <v>1896.4</v>
      </c>
      <c r="K58" s="127">
        <f t="shared" ref="K58" si="340">J57</f>
        <v>1871.6</v>
      </c>
      <c r="L58" s="129">
        <f t="shared" ref="L58" si="341">J58-K58</f>
        <v>24.800000000000182</v>
      </c>
      <c r="M58" s="127">
        <f>M55</f>
        <v>1</v>
      </c>
      <c r="N58" s="129">
        <f t="shared" ref="N58" si="342">L58*M58</f>
        <v>24.800000000000182</v>
      </c>
      <c r="O58" s="127">
        <f t="shared" ref="O58" si="343">N58-I58</f>
        <v>21.600000000000165</v>
      </c>
      <c r="P58" s="126">
        <v>2523.1999999999998</v>
      </c>
      <c r="Q58" s="127">
        <f t="shared" ref="Q58" si="344">P57</f>
        <v>2502.8000000000002</v>
      </c>
      <c r="R58" s="129">
        <f t="shared" ref="R58" si="345">P58-Q58</f>
        <v>20.399999999999636</v>
      </c>
      <c r="S58" s="127">
        <f>S55</f>
        <v>1</v>
      </c>
      <c r="T58" s="129">
        <f t="shared" ref="T58" si="346">R58*S58</f>
        <v>20.399999999999636</v>
      </c>
      <c r="U58" s="129">
        <v>1.82</v>
      </c>
      <c r="V58" s="129">
        <v>0.91</v>
      </c>
      <c r="W58" s="25"/>
    </row>
    <row r="59" spans="1:23" ht="15.75" x14ac:dyDescent="0.25">
      <c r="A59" s="135">
        <v>49</v>
      </c>
      <c r="B59" s="116" t="s">
        <v>309</v>
      </c>
      <c r="C59" s="138" t="s">
        <v>160</v>
      </c>
      <c r="D59" s="138" t="s">
        <v>124</v>
      </c>
      <c r="E59" s="135">
        <v>226.1</v>
      </c>
      <c r="F59" s="136">
        <f t="shared" ref="F59" si="347">E58</f>
        <v>220.4</v>
      </c>
      <c r="G59" s="138">
        <f t="shared" ref="G59:G61" si="348">E59-F59</f>
        <v>5.6999999999999886</v>
      </c>
      <c r="H59" s="91">
        <f t="shared" si="108"/>
        <v>1</v>
      </c>
      <c r="I59" s="138">
        <f t="shared" ref="I59:I61" si="349">G59*H59</f>
        <v>5.6999999999999886</v>
      </c>
      <c r="J59" s="135">
        <v>1921</v>
      </c>
      <c r="K59" s="136">
        <f t="shared" ref="K59" si="350">J58</f>
        <v>1896.4</v>
      </c>
      <c r="L59" s="138">
        <f t="shared" ref="L59:L61" si="351">J59-K59</f>
        <v>24.599999999999909</v>
      </c>
      <c r="M59" s="136">
        <f t="shared" si="90"/>
        <v>1</v>
      </c>
      <c r="N59" s="138">
        <f t="shared" ref="N59:N61" si="352">L59*M59</f>
        <v>24.599999999999909</v>
      </c>
      <c r="O59" s="136">
        <f t="shared" ref="O59:O61" si="353">N59-I59</f>
        <v>18.89999999999992</v>
      </c>
      <c r="P59" s="135">
        <v>2552</v>
      </c>
      <c r="Q59" s="136">
        <f t="shared" ref="Q59" si="354">P58</f>
        <v>2523.1999999999998</v>
      </c>
      <c r="R59" s="138">
        <f t="shared" ref="R59:R61" si="355">P59-Q59</f>
        <v>28.800000000000182</v>
      </c>
      <c r="S59" s="136">
        <f t="shared" si="91"/>
        <v>1</v>
      </c>
      <c r="T59" s="138">
        <f t="shared" ref="T59:T61" si="356">R59*S59</f>
        <v>28.800000000000182</v>
      </c>
      <c r="U59" s="138">
        <v>1.24</v>
      </c>
      <c r="V59" s="138">
        <v>0.9</v>
      </c>
      <c r="W59" s="25"/>
    </row>
    <row r="60" spans="1:23" ht="15.75" x14ac:dyDescent="0.25">
      <c r="A60" s="146">
        <v>50</v>
      </c>
      <c r="B60" s="116" t="s">
        <v>310</v>
      </c>
      <c r="C60" s="144" t="s">
        <v>160</v>
      </c>
      <c r="D60" s="144" t="s">
        <v>124</v>
      </c>
      <c r="E60" s="146">
        <v>230.9</v>
      </c>
      <c r="F60" s="145">
        <f t="shared" ref="F60" si="357">E58</f>
        <v>220.4</v>
      </c>
      <c r="G60" s="144">
        <f t="shared" si="348"/>
        <v>10.5</v>
      </c>
      <c r="H60" s="91">
        <f>H58</f>
        <v>1</v>
      </c>
      <c r="I60" s="144">
        <f t="shared" si="349"/>
        <v>10.5</v>
      </c>
      <c r="J60" s="146">
        <v>1947.4</v>
      </c>
      <c r="K60" s="145">
        <f t="shared" ref="K60" si="358">J58</f>
        <v>1896.4</v>
      </c>
      <c r="L60" s="144">
        <f t="shared" si="351"/>
        <v>51</v>
      </c>
      <c r="M60" s="145">
        <f>M57</f>
        <v>1</v>
      </c>
      <c r="N60" s="144">
        <f t="shared" si="352"/>
        <v>51</v>
      </c>
      <c r="O60" s="145">
        <f t="shared" si="353"/>
        <v>40.5</v>
      </c>
      <c r="P60" s="146">
        <v>2584.9</v>
      </c>
      <c r="Q60" s="145">
        <f t="shared" ref="Q60" si="359">P58</f>
        <v>2523.1999999999998</v>
      </c>
      <c r="R60" s="144">
        <f t="shared" si="355"/>
        <v>61.700000000000273</v>
      </c>
      <c r="S60" s="145">
        <f>S57</f>
        <v>1</v>
      </c>
      <c r="T60" s="144">
        <f t="shared" si="356"/>
        <v>61.700000000000273</v>
      </c>
      <c r="U60" s="144">
        <v>0.36</v>
      </c>
      <c r="V60" s="144">
        <v>0.76</v>
      </c>
      <c r="W60" s="25"/>
    </row>
    <row r="61" spans="1:23" ht="15.75" x14ac:dyDescent="0.25">
      <c r="A61" s="151">
        <v>51</v>
      </c>
      <c r="B61" s="116" t="s">
        <v>316</v>
      </c>
      <c r="C61" s="149" t="s">
        <v>160</v>
      </c>
      <c r="D61" s="149" t="s">
        <v>124</v>
      </c>
      <c r="E61" s="151">
        <v>237</v>
      </c>
      <c r="F61" s="150">
        <v>230.9</v>
      </c>
      <c r="G61" s="149">
        <f t="shared" si="348"/>
        <v>6.0999999999999943</v>
      </c>
      <c r="H61" s="91">
        <f>H58</f>
        <v>1</v>
      </c>
      <c r="I61" s="149">
        <f t="shared" si="349"/>
        <v>6.0999999999999943</v>
      </c>
      <c r="J61" s="151">
        <v>1981</v>
      </c>
      <c r="K61" s="150">
        <v>1947.4</v>
      </c>
      <c r="L61" s="149">
        <f t="shared" si="351"/>
        <v>33.599999999999909</v>
      </c>
      <c r="M61" s="150">
        <f>M57</f>
        <v>1</v>
      </c>
      <c r="N61" s="149">
        <f t="shared" si="352"/>
        <v>33.599999999999909</v>
      </c>
      <c r="O61" s="150">
        <f t="shared" si="353"/>
        <v>27.499999999999915</v>
      </c>
      <c r="P61" s="151">
        <v>2624</v>
      </c>
      <c r="Q61" s="150">
        <v>2584.9</v>
      </c>
      <c r="R61" s="149">
        <f t="shared" si="355"/>
        <v>39.099999999999909</v>
      </c>
      <c r="S61" s="150">
        <f>S57</f>
        <v>1</v>
      </c>
      <c r="T61" s="149">
        <f t="shared" si="356"/>
        <v>39.099999999999909</v>
      </c>
      <c r="U61" s="149">
        <v>1.82</v>
      </c>
      <c r="V61" s="149">
        <v>0.44</v>
      </c>
      <c r="W61" s="25"/>
    </row>
    <row r="62" spans="1:23" ht="15.75" x14ac:dyDescent="0.25">
      <c r="A62" s="155">
        <v>52</v>
      </c>
      <c r="B62" s="116" t="s">
        <v>319</v>
      </c>
      <c r="C62" s="142" t="s">
        <v>160</v>
      </c>
      <c r="D62" s="142" t="s">
        <v>124</v>
      </c>
      <c r="E62" s="139">
        <v>240</v>
      </c>
      <c r="F62" s="140">
        <v>237</v>
      </c>
      <c r="G62" s="142">
        <f t="shared" ref="G62:G64" si="360">E62-F62</f>
        <v>3</v>
      </c>
      <c r="H62" s="91">
        <f>H59</f>
        <v>1</v>
      </c>
      <c r="I62" s="142">
        <f t="shared" ref="I62:I64" si="361">G62*H62</f>
        <v>3</v>
      </c>
      <c r="J62" s="139">
        <v>2027</v>
      </c>
      <c r="K62" s="140">
        <v>1981</v>
      </c>
      <c r="L62" s="142">
        <f t="shared" ref="L62:L64" si="362">J62-K62</f>
        <v>46</v>
      </c>
      <c r="M62" s="140">
        <f>M58</f>
        <v>1</v>
      </c>
      <c r="N62" s="142">
        <f t="shared" ref="N62:N64" si="363">L62*M62</f>
        <v>46</v>
      </c>
      <c r="O62" s="140">
        <f t="shared" ref="O62:O64" si="364">N62-I62</f>
        <v>43</v>
      </c>
      <c r="P62" s="139">
        <v>2682</v>
      </c>
      <c r="Q62" s="140">
        <v>2624</v>
      </c>
      <c r="R62" s="142">
        <f t="shared" ref="R62:R64" si="365">P62-Q62</f>
        <v>58</v>
      </c>
      <c r="S62" s="140">
        <f>S58</f>
        <v>1</v>
      </c>
      <c r="T62" s="142">
        <f t="shared" ref="T62:T64" si="366">R62*S62</f>
        <v>58</v>
      </c>
      <c r="U62" s="142">
        <v>1.81</v>
      </c>
      <c r="V62" s="142">
        <v>0.44</v>
      </c>
      <c r="W62" s="25"/>
    </row>
    <row r="63" spans="1:23" ht="15.75" x14ac:dyDescent="0.25">
      <c r="A63" s="170">
        <v>53</v>
      </c>
      <c r="B63" s="116" t="s">
        <v>321</v>
      </c>
      <c r="C63" s="168" t="s">
        <v>160</v>
      </c>
      <c r="D63" s="168" t="s">
        <v>124</v>
      </c>
      <c r="E63" s="170">
        <v>242.2</v>
      </c>
      <c r="F63" s="170">
        <v>240</v>
      </c>
      <c r="G63" s="168">
        <f t="shared" si="360"/>
        <v>2.1999999999999886</v>
      </c>
      <c r="H63" s="91">
        <f>H59</f>
        <v>1</v>
      </c>
      <c r="I63" s="168">
        <f t="shared" si="361"/>
        <v>2.1999999999999886</v>
      </c>
      <c r="J63" s="170">
        <v>2049.3000000000002</v>
      </c>
      <c r="K63" s="170">
        <v>2027</v>
      </c>
      <c r="L63" s="168">
        <f t="shared" si="362"/>
        <v>22.300000000000182</v>
      </c>
      <c r="M63" s="169">
        <f>M58</f>
        <v>1</v>
      </c>
      <c r="N63" s="168">
        <f t="shared" si="363"/>
        <v>22.300000000000182</v>
      </c>
      <c r="O63" s="169">
        <f t="shared" si="364"/>
        <v>20.100000000000193</v>
      </c>
      <c r="P63" s="170">
        <v>2704.1</v>
      </c>
      <c r="Q63" s="170">
        <v>2682</v>
      </c>
      <c r="R63" s="168">
        <f t="shared" si="365"/>
        <v>22.099999999999909</v>
      </c>
      <c r="S63" s="169">
        <f>S58</f>
        <v>1</v>
      </c>
      <c r="T63" s="168">
        <f t="shared" si="366"/>
        <v>22.099999999999909</v>
      </c>
      <c r="U63" s="168">
        <v>1.82</v>
      </c>
      <c r="V63" s="168">
        <v>0.25</v>
      </c>
      <c r="W63" s="25"/>
    </row>
    <row r="64" spans="1:23" ht="15.75" x14ac:dyDescent="0.25">
      <c r="A64" s="175">
        <v>54</v>
      </c>
      <c r="B64" s="116" t="s">
        <v>327</v>
      </c>
      <c r="C64" s="178" t="s">
        <v>160</v>
      </c>
      <c r="D64" s="178" t="s">
        <v>124</v>
      </c>
      <c r="E64" s="175">
        <v>249.6</v>
      </c>
      <c r="F64" s="175">
        <v>242</v>
      </c>
      <c r="G64" s="178">
        <f t="shared" si="360"/>
        <v>7.5999999999999943</v>
      </c>
      <c r="H64" s="91">
        <f>H59</f>
        <v>1</v>
      </c>
      <c r="I64" s="178">
        <f t="shared" si="361"/>
        <v>7.5999999999999943</v>
      </c>
      <c r="J64" s="175">
        <v>2076.5</v>
      </c>
      <c r="K64" s="175">
        <v>2049.3000000000002</v>
      </c>
      <c r="L64" s="178">
        <f t="shared" si="362"/>
        <v>27.199999999999818</v>
      </c>
      <c r="M64" s="176">
        <f>M58</f>
        <v>1</v>
      </c>
      <c r="N64" s="178">
        <f t="shared" si="363"/>
        <v>27.199999999999818</v>
      </c>
      <c r="O64" s="176">
        <f t="shared" si="364"/>
        <v>19.599999999999824</v>
      </c>
      <c r="P64" s="175">
        <v>2735.5</v>
      </c>
      <c r="Q64" s="175">
        <v>2704.1</v>
      </c>
      <c r="R64" s="178">
        <f t="shared" si="365"/>
        <v>31.400000000000091</v>
      </c>
      <c r="S64" s="176">
        <f>S58</f>
        <v>1</v>
      </c>
      <c r="T64" s="178">
        <f t="shared" si="366"/>
        <v>31.400000000000091</v>
      </c>
      <c r="U64" s="178">
        <v>1.82</v>
      </c>
      <c r="V64" s="178">
        <v>0.9</v>
      </c>
      <c r="W64" s="25"/>
    </row>
    <row r="65" spans="1:23" ht="15.75" x14ac:dyDescent="0.25">
      <c r="A65" s="155">
        <v>55</v>
      </c>
      <c r="B65" s="116" t="s">
        <v>330</v>
      </c>
      <c r="C65" s="158" t="s">
        <v>160</v>
      </c>
      <c r="D65" s="158" t="s">
        <v>124</v>
      </c>
      <c r="E65" s="155">
        <v>254.8</v>
      </c>
      <c r="F65" s="175">
        <v>249.6</v>
      </c>
      <c r="G65" s="158">
        <f t="shared" ref="G65:G66" si="367">E65-F65</f>
        <v>5.2000000000000171</v>
      </c>
      <c r="H65" s="91">
        <f>H60</f>
        <v>1</v>
      </c>
      <c r="I65" s="158">
        <f t="shared" ref="I65:I66" si="368">G65*H65</f>
        <v>5.2000000000000171</v>
      </c>
      <c r="J65" s="155">
        <v>2099.3000000000002</v>
      </c>
      <c r="K65" s="175">
        <v>2076.5</v>
      </c>
      <c r="L65" s="158">
        <f t="shared" ref="L65:L66" si="369">J65-K65</f>
        <v>22.800000000000182</v>
      </c>
      <c r="M65" s="156">
        <f>M59</f>
        <v>1</v>
      </c>
      <c r="N65" s="158">
        <f t="shared" ref="N65:N66" si="370">L65*M65</f>
        <v>22.800000000000182</v>
      </c>
      <c r="O65" s="156">
        <f t="shared" ref="O65:O66" si="371">N65-I65</f>
        <v>17.600000000000165</v>
      </c>
      <c r="P65" s="155">
        <v>2763.3</v>
      </c>
      <c r="Q65" s="175">
        <v>2735.5</v>
      </c>
      <c r="R65" s="158">
        <f t="shared" ref="R65:R66" si="372">P65-Q65</f>
        <v>27.800000000000182</v>
      </c>
      <c r="S65" s="156">
        <f>S59</f>
        <v>1</v>
      </c>
      <c r="T65" s="158">
        <f t="shared" ref="T65:T66" si="373">R65*S65</f>
        <v>27.800000000000182</v>
      </c>
      <c r="U65" s="158">
        <v>1.82</v>
      </c>
      <c r="V65" s="158">
        <v>0.9</v>
      </c>
      <c r="W65" s="25"/>
    </row>
    <row r="66" spans="1:23" ht="15.75" x14ac:dyDescent="0.25">
      <c r="A66" s="183">
        <v>56</v>
      </c>
      <c r="B66" s="116" t="s">
        <v>331</v>
      </c>
      <c r="C66" s="186" t="s">
        <v>160</v>
      </c>
      <c r="D66" s="186" t="s">
        <v>124</v>
      </c>
      <c r="E66" s="183">
        <v>259.3</v>
      </c>
      <c r="F66" s="183">
        <v>254.8</v>
      </c>
      <c r="G66" s="186">
        <f t="shared" si="367"/>
        <v>4.5</v>
      </c>
      <c r="H66" s="91">
        <f>H60</f>
        <v>1</v>
      </c>
      <c r="I66" s="186">
        <f t="shared" si="368"/>
        <v>4.5</v>
      </c>
      <c r="J66" s="183">
        <v>2123.8000000000002</v>
      </c>
      <c r="K66" s="183">
        <v>2099.3000000000002</v>
      </c>
      <c r="L66" s="186">
        <f t="shared" si="369"/>
        <v>24.5</v>
      </c>
      <c r="M66" s="184">
        <f>M59</f>
        <v>1</v>
      </c>
      <c r="N66" s="186">
        <f t="shared" si="370"/>
        <v>24.5</v>
      </c>
      <c r="O66" s="184">
        <f t="shared" si="371"/>
        <v>20</v>
      </c>
      <c r="P66" s="183">
        <v>2792.2</v>
      </c>
      <c r="Q66" s="183">
        <v>2763.3</v>
      </c>
      <c r="R66" s="186">
        <f t="shared" si="372"/>
        <v>28.899999999999636</v>
      </c>
      <c r="S66" s="184">
        <f>S59</f>
        <v>1</v>
      </c>
      <c r="T66" s="186">
        <f t="shared" si="373"/>
        <v>28.899999999999636</v>
      </c>
      <c r="U66" s="186">
        <v>1.23</v>
      </c>
      <c r="V66" s="186">
        <v>0.41</v>
      </c>
      <c r="W66" s="25"/>
    </row>
    <row r="67" spans="1:23" ht="15.75" x14ac:dyDescent="0.25">
      <c r="A67" s="182">
        <v>57</v>
      </c>
      <c r="B67" s="116" t="s">
        <v>332</v>
      </c>
      <c r="C67" s="180" t="s">
        <v>160</v>
      </c>
      <c r="D67" s="180" t="s">
        <v>124</v>
      </c>
      <c r="E67" s="182">
        <v>261.8</v>
      </c>
      <c r="F67" s="182">
        <v>259.3</v>
      </c>
      <c r="G67" s="180">
        <f t="shared" ref="G67" si="374">E67-F67</f>
        <v>2.5</v>
      </c>
      <c r="H67" s="91">
        <f>H61</f>
        <v>1</v>
      </c>
      <c r="I67" s="180">
        <f t="shared" ref="I67" si="375">G67*H67</f>
        <v>2.5</v>
      </c>
      <c r="J67" s="182">
        <v>2165.1999999999998</v>
      </c>
      <c r="K67" s="182">
        <v>2123</v>
      </c>
      <c r="L67" s="180">
        <f t="shared" ref="L67" si="376">J67-K67</f>
        <v>42.199999999999818</v>
      </c>
      <c r="M67" s="181">
        <f>M60</f>
        <v>1</v>
      </c>
      <c r="N67" s="180">
        <f t="shared" ref="N67" si="377">L67*M67</f>
        <v>42.199999999999818</v>
      </c>
      <c r="O67" s="181">
        <f t="shared" ref="O67" si="378">N67-I67</f>
        <v>39.699999999999818</v>
      </c>
      <c r="P67" s="182">
        <v>2839.6</v>
      </c>
      <c r="Q67" s="182">
        <v>2792.2</v>
      </c>
      <c r="R67" s="180">
        <f t="shared" ref="R67" si="379">P67-Q67</f>
        <v>47.400000000000091</v>
      </c>
      <c r="S67" s="181">
        <f>S60</f>
        <v>1</v>
      </c>
      <c r="T67" s="180">
        <f t="shared" ref="T67" si="380">R67*S67</f>
        <v>47.400000000000091</v>
      </c>
      <c r="U67" s="180">
        <v>0.15</v>
      </c>
      <c r="V67" s="180">
        <v>0.7</v>
      </c>
      <c r="W67" s="25"/>
    </row>
    <row r="68" spans="1:23" s="3" customFormat="1" ht="15.75" x14ac:dyDescent="0.25">
      <c r="A68" s="164"/>
      <c r="B68" s="22"/>
      <c r="C68" s="164"/>
      <c r="D68" s="164"/>
      <c r="E68" s="164"/>
      <c r="F68" s="162"/>
      <c r="G68" s="164"/>
      <c r="H68" s="162" t="s">
        <v>121</v>
      </c>
      <c r="I68" s="164">
        <f>SUM(I57:I65)</f>
        <v>46.5</v>
      </c>
      <c r="J68" s="164"/>
      <c r="K68" s="162"/>
      <c r="L68" s="164"/>
      <c r="M68" s="162"/>
      <c r="N68" s="164">
        <f>SUM(N57:N65)</f>
        <v>292.30000000000018</v>
      </c>
      <c r="O68" s="164">
        <f>SUM(O57:O65)</f>
        <v>245.80000000000018</v>
      </c>
      <c r="P68" s="164"/>
      <c r="Q68" s="162"/>
      <c r="R68" s="164"/>
      <c r="S68" s="162"/>
      <c r="T68" s="164">
        <f>SUM(T57:T65)</f>
        <v>335.30000000000018</v>
      </c>
      <c r="U68" s="164"/>
      <c r="V68" s="164"/>
      <c r="W68" s="31"/>
    </row>
    <row r="69" spans="1:23" ht="15.75" x14ac:dyDescent="0.25">
      <c r="A69" s="37"/>
      <c r="B69" s="78"/>
      <c r="C69" s="24"/>
      <c r="D69" s="24"/>
      <c r="E69" s="37"/>
      <c r="F69" s="38"/>
      <c r="G69" s="24"/>
      <c r="H69" s="38"/>
      <c r="I69" s="24"/>
      <c r="J69" s="37"/>
      <c r="K69" s="38"/>
      <c r="L69" s="24"/>
      <c r="M69" s="38"/>
      <c r="N69" s="24"/>
      <c r="O69" s="38"/>
      <c r="P69" s="37"/>
      <c r="Q69" s="38"/>
      <c r="R69" s="24"/>
      <c r="S69" s="38"/>
      <c r="T69" s="24"/>
      <c r="U69" s="24"/>
      <c r="V69" s="24"/>
      <c r="W69" s="25"/>
    </row>
    <row r="70" spans="1:23" ht="15.75" x14ac:dyDescent="0.25">
      <c r="A70" s="37"/>
      <c r="B70" s="78"/>
      <c r="C70" s="24"/>
      <c r="D70" s="24"/>
      <c r="E70" s="37"/>
      <c r="F70" s="38"/>
      <c r="G70" s="24"/>
      <c r="H70" s="38"/>
      <c r="I70" s="24"/>
      <c r="J70" s="37"/>
      <c r="K70" s="38"/>
      <c r="L70" s="24"/>
      <c r="M70" s="38"/>
      <c r="N70" s="24"/>
      <c r="O70" s="38"/>
      <c r="P70" s="37"/>
      <c r="Q70" s="38"/>
      <c r="R70" s="24"/>
      <c r="S70" s="38"/>
      <c r="T70" s="24"/>
      <c r="U70" s="24"/>
      <c r="V70" s="24"/>
      <c r="W70" s="25"/>
    </row>
    <row r="71" spans="1:23" ht="15.75" x14ac:dyDescent="0.25">
      <c r="A71" s="37"/>
      <c r="B71" s="78"/>
      <c r="C71" s="24"/>
      <c r="D71" s="24"/>
      <c r="E71" s="37"/>
      <c r="F71" s="38"/>
      <c r="G71" s="24"/>
      <c r="H71" s="38"/>
      <c r="I71" s="24"/>
      <c r="J71" s="37"/>
      <c r="K71" s="38"/>
      <c r="L71" s="24"/>
      <c r="M71" s="38"/>
      <c r="N71" s="24"/>
      <c r="O71" s="38"/>
      <c r="P71" s="37"/>
      <c r="Q71" s="38"/>
      <c r="R71" s="24"/>
      <c r="S71" s="38"/>
      <c r="T71" s="24"/>
      <c r="U71" s="24"/>
      <c r="V71" s="24"/>
      <c r="W71" s="25"/>
    </row>
    <row r="72" spans="1:23" ht="15.75" x14ac:dyDescent="0.25">
      <c r="A72" s="37"/>
      <c r="B72" s="78"/>
      <c r="C72" s="24"/>
      <c r="D72" s="24"/>
      <c r="E72" s="37"/>
      <c r="F72" s="38"/>
      <c r="G72" s="24"/>
      <c r="H72" s="38"/>
      <c r="I72" s="24"/>
      <c r="J72" s="37"/>
      <c r="K72" s="38"/>
      <c r="L72" s="24"/>
      <c r="M72" s="38"/>
      <c r="N72" s="24"/>
      <c r="O72" s="38"/>
      <c r="P72" s="37"/>
      <c r="Q72" s="38"/>
      <c r="R72" s="24"/>
      <c r="S72" s="38"/>
      <c r="T72" s="24"/>
      <c r="U72" s="24"/>
      <c r="V72" s="24"/>
      <c r="W72" s="25"/>
    </row>
    <row r="73" spans="1:23" ht="15.75" x14ac:dyDescent="0.25">
      <c r="A73" s="37"/>
      <c r="B73" s="78"/>
      <c r="C73" s="24"/>
      <c r="D73" s="24"/>
      <c r="E73" s="37">
        <f>E33-E29</f>
        <v>9.3000000000000114</v>
      </c>
      <c r="F73" s="38">
        <f>E73/3</f>
        <v>3.1000000000000036</v>
      </c>
      <c r="G73" s="24"/>
      <c r="H73" s="38"/>
      <c r="I73" s="24"/>
      <c r="J73" s="37">
        <f>J33-J29</f>
        <v>64.099999999999909</v>
      </c>
      <c r="K73" s="38">
        <f>J73/3</f>
        <v>21.366666666666635</v>
      </c>
      <c r="L73" s="24"/>
      <c r="M73" s="38"/>
      <c r="N73" s="24"/>
      <c r="O73" s="38"/>
      <c r="P73" s="37">
        <f>P33-P29</f>
        <v>72.400000000000091</v>
      </c>
      <c r="Q73" s="38">
        <f>P73/3</f>
        <v>24.133333333333365</v>
      </c>
      <c r="R73" s="24"/>
      <c r="S73" s="38"/>
      <c r="T73" s="24"/>
      <c r="U73" s="24"/>
      <c r="V73" s="24"/>
      <c r="W73" s="25"/>
    </row>
    <row r="74" spans="1:23" ht="15.75" x14ac:dyDescent="0.25">
      <c r="A74" s="31">
        <v>1</v>
      </c>
      <c r="B74" s="31" t="s">
        <v>23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37"/>
      <c r="Q74" s="38"/>
      <c r="R74" s="24"/>
      <c r="S74" s="38"/>
      <c r="T74" s="24"/>
      <c r="U74" s="25"/>
      <c r="V74" s="25"/>
      <c r="W74" s="25"/>
    </row>
    <row r="75" spans="1:23" ht="15.75" x14ac:dyDescent="0.25">
      <c r="A75" s="31">
        <v>2</v>
      </c>
      <c r="B75" s="31" t="s">
        <v>24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37"/>
      <c r="Q75" s="38"/>
      <c r="R75" s="24"/>
      <c r="S75" s="38"/>
      <c r="T75" s="24"/>
      <c r="U75" s="25"/>
      <c r="V75" s="25"/>
      <c r="W75" s="25"/>
    </row>
    <row r="76" spans="1:23" ht="15.75" x14ac:dyDescent="0.25">
      <c r="A76" s="31">
        <v>3</v>
      </c>
      <c r="B76" s="31" t="s">
        <v>25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37"/>
      <c r="Q76" s="38"/>
      <c r="R76" s="24"/>
      <c r="S76" s="38"/>
      <c r="T76" s="24"/>
      <c r="U76" s="25"/>
      <c r="V76" s="25"/>
      <c r="W76" s="25"/>
    </row>
    <row r="79" spans="1:23" x14ac:dyDescent="0.25">
      <c r="R79" t="s">
        <v>65</v>
      </c>
    </row>
  </sheetData>
  <mergeCells count="20">
    <mergeCell ref="A1:V1"/>
    <mergeCell ref="A2:V2"/>
    <mergeCell ref="B3:C3"/>
    <mergeCell ref="E3:I3"/>
    <mergeCell ref="J3:L3"/>
    <mergeCell ref="M3:N3"/>
    <mergeCell ref="O3:U3"/>
    <mergeCell ref="A5:A6"/>
    <mergeCell ref="B5:B6"/>
    <mergeCell ref="C5:C6"/>
    <mergeCell ref="D5:D6"/>
    <mergeCell ref="E5:I5"/>
    <mergeCell ref="J5:N5"/>
    <mergeCell ref="O5:O6"/>
    <mergeCell ref="P5:T5"/>
    <mergeCell ref="B4:C4"/>
    <mergeCell ref="E4:I4"/>
    <mergeCell ref="J4:L4"/>
    <mergeCell ref="M4:N4"/>
    <mergeCell ref="O4:U4"/>
  </mergeCells>
  <printOptions horizontalCentered="1"/>
  <pageMargins left="0" right="0" top="0.75" bottom="0.75" header="0.3" footer="0.3"/>
  <pageSetup paperSize="9"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view="pageBreakPreview" topLeftCell="A139" zoomScale="60" zoomScaleNormal="100" workbookViewId="0">
      <selection activeCell="Z13" sqref="Z13"/>
    </sheetView>
  </sheetViews>
  <sheetFormatPr defaultRowHeight="23.25" x14ac:dyDescent="0.35"/>
  <cols>
    <col min="1" max="1" width="5.42578125" customWidth="1"/>
    <col min="2" max="2" width="10.42578125" customWidth="1"/>
    <col min="3" max="3" width="16.5703125" customWidth="1"/>
    <col min="4" max="4" width="25.5703125" style="60" customWidth="1"/>
    <col min="5" max="5" width="17.7109375" customWidth="1"/>
    <col min="6" max="6" width="6.5703125" style="63" customWidth="1"/>
    <col min="8" max="8" width="10.85546875" bestFit="1" customWidth="1"/>
    <col min="9" max="9" width="9.85546875" customWidth="1"/>
    <col min="11" max="11" width="9.7109375" customWidth="1"/>
    <col min="12" max="12" width="10.140625" customWidth="1"/>
    <col min="13" max="13" width="7.7109375" customWidth="1"/>
    <col min="14" max="14" width="10.140625" customWidth="1"/>
    <col min="17" max="17" width="6.5703125" customWidth="1"/>
    <col min="19" max="19" width="10.28515625" customWidth="1"/>
    <col min="20" max="20" width="9.85546875" customWidth="1"/>
    <col min="21" max="21" width="6.85546875" customWidth="1"/>
    <col min="22" max="22" width="10.5703125" customWidth="1"/>
    <col min="23" max="23" width="25.42578125" bestFit="1" customWidth="1"/>
    <col min="24" max="24" width="11.140625" bestFit="1" customWidth="1"/>
    <col min="25" max="25" width="17" style="83" bestFit="1" customWidth="1"/>
    <col min="26" max="26" width="14" bestFit="1" customWidth="1"/>
    <col min="28" max="28" width="10.5703125" bestFit="1" customWidth="1"/>
    <col min="30" max="30" width="10.5703125" bestFit="1" customWidth="1"/>
  </cols>
  <sheetData>
    <row r="1" spans="1:30" s="40" customFormat="1" ht="29.25" customHeight="1" x14ac:dyDescent="0.25">
      <c r="A1" s="227" t="s">
        <v>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79"/>
    </row>
    <row r="2" spans="1:30" s="41" customFormat="1" ht="21" customHeight="1" x14ac:dyDescent="0.25">
      <c r="A2" s="228" t="s">
        <v>204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79"/>
    </row>
    <row r="3" spans="1:30" s="41" customFormat="1" ht="24" customHeight="1" x14ac:dyDescent="0.25">
      <c r="A3" s="42" t="s">
        <v>238</v>
      </c>
      <c r="D3" s="43"/>
      <c r="E3" s="54"/>
      <c r="F3" s="61"/>
      <c r="H3" s="44"/>
      <c r="T3" s="45"/>
      <c r="U3" s="45"/>
      <c r="W3" s="46" t="s">
        <v>257</v>
      </c>
      <c r="Y3" s="80"/>
    </row>
    <row r="4" spans="1:30" s="58" customFormat="1" ht="29.25" customHeight="1" x14ac:dyDescent="0.25">
      <c r="A4" s="223" t="s">
        <v>205</v>
      </c>
      <c r="B4" s="223" t="s">
        <v>206</v>
      </c>
      <c r="C4" s="223" t="s">
        <v>207</v>
      </c>
      <c r="D4" s="223" t="s">
        <v>208</v>
      </c>
      <c r="E4" s="229" t="s">
        <v>73</v>
      </c>
      <c r="F4" s="230" t="s">
        <v>209</v>
      </c>
      <c r="G4" s="223" t="s">
        <v>210</v>
      </c>
      <c r="H4" s="231" t="s">
        <v>211</v>
      </c>
      <c r="I4" s="223" t="s">
        <v>212</v>
      </c>
      <c r="J4" s="223" t="s">
        <v>213</v>
      </c>
      <c r="K4" s="223" t="s">
        <v>214</v>
      </c>
      <c r="L4" s="223"/>
      <c r="M4" s="223"/>
      <c r="N4" s="223"/>
      <c r="O4" s="223" t="s">
        <v>215</v>
      </c>
      <c r="P4" s="223"/>
      <c r="Q4" s="223"/>
      <c r="R4" s="223"/>
      <c r="S4" s="223" t="s">
        <v>216</v>
      </c>
      <c r="T4" s="223"/>
      <c r="U4" s="223"/>
      <c r="V4" s="223"/>
      <c r="W4" s="223" t="s">
        <v>248</v>
      </c>
      <c r="X4" s="223" t="s">
        <v>249</v>
      </c>
      <c r="Y4" s="79"/>
    </row>
    <row r="5" spans="1:30" s="52" customFormat="1" ht="42" customHeight="1" x14ac:dyDescent="0.25">
      <c r="A5" s="223"/>
      <c r="B5" s="223"/>
      <c r="C5" s="223"/>
      <c r="D5" s="223"/>
      <c r="E5" s="229"/>
      <c r="F5" s="230"/>
      <c r="G5" s="223"/>
      <c r="H5" s="232"/>
      <c r="I5" s="223"/>
      <c r="J5" s="223"/>
      <c r="K5" s="47" t="s">
        <v>217</v>
      </c>
      <c r="L5" s="47" t="s">
        <v>218</v>
      </c>
      <c r="M5" s="48" t="s">
        <v>219</v>
      </c>
      <c r="N5" s="47" t="s">
        <v>220</v>
      </c>
      <c r="O5" s="47" t="s">
        <v>217</v>
      </c>
      <c r="P5" s="47" t="s">
        <v>218</v>
      </c>
      <c r="Q5" s="48" t="s">
        <v>219</v>
      </c>
      <c r="R5" s="47" t="s">
        <v>220</v>
      </c>
      <c r="S5" s="47" t="s">
        <v>217</v>
      </c>
      <c r="T5" s="47" t="s">
        <v>218</v>
      </c>
      <c r="U5" s="47"/>
      <c r="V5" s="47" t="s">
        <v>220</v>
      </c>
      <c r="W5" s="223"/>
      <c r="X5" s="223"/>
      <c r="Y5" s="81" t="s">
        <v>255</v>
      </c>
    </row>
    <row r="6" spans="1:30" s="40" customFormat="1" ht="39.950000000000003" customHeight="1" x14ac:dyDescent="0.25">
      <c r="A6" s="49">
        <v>1</v>
      </c>
      <c r="B6" s="50" t="s">
        <v>43</v>
      </c>
      <c r="C6" s="56" t="s">
        <v>229</v>
      </c>
      <c r="D6" s="51" t="s">
        <v>125</v>
      </c>
      <c r="E6" s="55" t="s">
        <v>127</v>
      </c>
      <c r="F6" s="62">
        <v>2</v>
      </c>
      <c r="G6" s="49" t="s">
        <v>221</v>
      </c>
      <c r="H6" s="64" t="s">
        <v>222</v>
      </c>
      <c r="I6" s="49">
        <v>3</v>
      </c>
      <c r="J6" s="49" t="s">
        <v>224</v>
      </c>
      <c r="K6" s="84">
        <f>'HKQ7'!Q8</f>
        <v>669.9</v>
      </c>
      <c r="L6" s="84">
        <f>'HKQ7'!P8</f>
        <v>951.4</v>
      </c>
      <c r="M6" s="84">
        <f>'[1]April-18'!M6</f>
        <v>1</v>
      </c>
      <c r="N6" s="84">
        <f t="shared" ref="N6:N139" si="0">(L6-K6)*M6</f>
        <v>281.5</v>
      </c>
      <c r="O6" s="84">
        <f>'HKQ7'!F8</f>
        <v>23.4</v>
      </c>
      <c r="P6" s="84">
        <f>'HKQ7'!E8</f>
        <v>57</v>
      </c>
      <c r="Q6" s="84">
        <v>1</v>
      </c>
      <c r="R6" s="84">
        <f>(P6-O6)*Q6</f>
        <v>33.6</v>
      </c>
      <c r="S6" s="84">
        <f>'HKQ7'!K8</f>
        <v>246.4</v>
      </c>
      <c r="T6" s="84">
        <f>'HKQ7'!J8</f>
        <v>514.4</v>
      </c>
      <c r="U6" s="84">
        <f>'[1]April-18'!U6</f>
        <v>1</v>
      </c>
      <c r="V6" s="84">
        <f>(T6-S6)*U6</f>
        <v>268</v>
      </c>
      <c r="W6" s="85">
        <f t="shared" ref="W6:W9" si="1">N6/30/I6</f>
        <v>3.1277777777777778</v>
      </c>
      <c r="X6" s="84"/>
      <c r="Y6" s="82" t="str">
        <f>'HKQ7'!B8</f>
        <v>01.08.2019</v>
      </c>
      <c r="Z6" s="40" t="e">
        <f>#REF!+N20+N27+N34+N41+N48+#REF!+N62+N69+N76+N83+N90+N97+N104+N111+N118+N125+N132+N6+N140</f>
        <v>#REF!</v>
      </c>
    </row>
    <row r="7" spans="1:30" s="40" customFormat="1" ht="39.950000000000003" customHeight="1" x14ac:dyDescent="0.25">
      <c r="A7" s="49">
        <v>2</v>
      </c>
      <c r="B7" s="50" t="s">
        <v>43</v>
      </c>
      <c r="C7" s="56" t="str">
        <f>C6</f>
        <v>HDKOTE/1714</v>
      </c>
      <c r="D7" s="51" t="s">
        <v>125</v>
      </c>
      <c r="E7" s="55" t="str">
        <f>E6</f>
        <v>HKQ7</v>
      </c>
      <c r="F7" s="62">
        <f>F6</f>
        <v>2</v>
      </c>
      <c r="G7" s="49" t="s">
        <v>221</v>
      </c>
      <c r="H7" s="64" t="s">
        <v>222</v>
      </c>
      <c r="I7" s="49">
        <f>I6</f>
        <v>3</v>
      </c>
      <c r="J7" s="49" t="str">
        <f>J6</f>
        <v>LT 3</v>
      </c>
      <c r="K7" s="84">
        <f>'HKQ7'!Q9</f>
        <v>951.4</v>
      </c>
      <c r="L7" s="84">
        <f>'HKQ7'!P9</f>
        <v>1188</v>
      </c>
      <c r="M7" s="84">
        <f>'[1]April-18'!M7</f>
        <v>1</v>
      </c>
      <c r="N7" s="84">
        <f t="shared" ref="N7" si="2">(L7-K7)*M7</f>
        <v>236.60000000000002</v>
      </c>
      <c r="O7" s="84">
        <f>'HKQ7'!F9</f>
        <v>57</v>
      </c>
      <c r="P7" s="84">
        <f>'HKQ7'!E9</f>
        <v>75.7</v>
      </c>
      <c r="Q7" s="84">
        <f>Q6</f>
        <v>1</v>
      </c>
      <c r="R7" s="84">
        <f>(P7-O7)*Q7</f>
        <v>18.700000000000003</v>
      </c>
      <c r="S7" s="84">
        <f>'HKQ7'!K9</f>
        <v>514.4</v>
      </c>
      <c r="T7" s="84">
        <f>'HKQ7'!J9</f>
        <v>735</v>
      </c>
      <c r="U7" s="84">
        <f>'[1]April-18'!U7</f>
        <v>1</v>
      </c>
      <c r="V7" s="84">
        <f>(T7-S7)*U7</f>
        <v>220.60000000000002</v>
      </c>
      <c r="W7" s="85">
        <f t="shared" si="1"/>
        <v>2.6288888888888891</v>
      </c>
      <c r="X7" s="84"/>
      <c r="Y7" s="82" t="str">
        <f>'HKQ7'!B9</f>
        <v>01.09.2019</v>
      </c>
      <c r="Z7" s="40">
        <f>N14+N21+N28+N35+N42+N49+N56+N63+N70+N77+N84+N91+N98+N105+N112+N119+N126+N133+N7+N141</f>
        <v>4811.0999999999922</v>
      </c>
    </row>
    <row r="8" spans="1:30" s="40" customFormat="1" ht="39.950000000000003" customHeight="1" x14ac:dyDescent="0.25">
      <c r="A8" s="49">
        <v>3</v>
      </c>
      <c r="B8" s="50" t="s">
        <v>43</v>
      </c>
      <c r="C8" s="56" t="str">
        <f>C7</f>
        <v>HDKOTE/1714</v>
      </c>
      <c r="D8" s="51" t="s">
        <v>125</v>
      </c>
      <c r="E8" s="55" t="str">
        <f>E7</f>
        <v>HKQ7</v>
      </c>
      <c r="F8" s="62">
        <f>F7</f>
        <v>2</v>
      </c>
      <c r="G8" s="49" t="s">
        <v>221</v>
      </c>
      <c r="H8" s="64" t="s">
        <v>222</v>
      </c>
      <c r="I8" s="49">
        <f>I7</f>
        <v>3</v>
      </c>
      <c r="J8" s="49" t="str">
        <f>J7</f>
        <v>LT 3</v>
      </c>
      <c r="K8" s="84">
        <f>'HKQ7'!Q10</f>
        <v>1188</v>
      </c>
      <c r="L8" s="84">
        <f>'HKQ7'!P10</f>
        <v>1453.8</v>
      </c>
      <c r="M8" s="84">
        <f>'[1]April-18'!M8</f>
        <v>1</v>
      </c>
      <c r="N8" s="84">
        <f>(L8-K8)*M8</f>
        <v>265.79999999999995</v>
      </c>
      <c r="O8" s="84">
        <f>'HKQ7'!F10</f>
        <v>75.7</v>
      </c>
      <c r="P8" s="84">
        <f>'HKQ7'!E10</f>
        <v>103.8</v>
      </c>
      <c r="Q8" s="84">
        <f>Q7</f>
        <v>1</v>
      </c>
      <c r="R8" s="84">
        <f>(P8-O8)*Q8</f>
        <v>28.099999999999994</v>
      </c>
      <c r="S8" s="84">
        <f>'HKQ7'!K10</f>
        <v>735</v>
      </c>
      <c r="T8" s="84">
        <f>'HKQ7'!J10</f>
        <v>970</v>
      </c>
      <c r="U8" s="84">
        <f>'[1]April-18'!U8</f>
        <v>1</v>
      </c>
      <c r="V8" s="84">
        <f>(T8-S8)*U8</f>
        <v>235</v>
      </c>
      <c r="W8" s="85">
        <f t="shared" si="1"/>
        <v>2.9533333333333327</v>
      </c>
      <c r="X8" s="84"/>
      <c r="Y8" s="82" t="str">
        <f>'HKQ7'!B10</f>
        <v>01.10.2019</v>
      </c>
      <c r="Z8" s="40">
        <f>N15+N22+N29+N36+N43+N50+N57+N64+N71+N78+N85+N92+N99+N106+N113+N120+N127+N134+N8+N142</f>
        <v>5241.8</v>
      </c>
    </row>
    <row r="9" spans="1:30" s="40" customFormat="1" ht="39.950000000000003" customHeight="1" x14ac:dyDescent="0.25">
      <c r="A9" s="49">
        <v>4</v>
      </c>
      <c r="B9" s="50" t="s">
        <v>43</v>
      </c>
      <c r="C9" s="56" t="str">
        <f t="shared" ref="C9:C12" si="3">C8</f>
        <v>HDKOTE/1714</v>
      </c>
      <c r="D9" s="51" t="s">
        <v>125</v>
      </c>
      <c r="E9" s="55" t="str">
        <f t="shared" ref="E9:E12" si="4">E8</f>
        <v>HKQ7</v>
      </c>
      <c r="F9" s="62">
        <f t="shared" ref="F9:F12" si="5">F8</f>
        <v>2</v>
      </c>
      <c r="G9" s="49" t="s">
        <v>221</v>
      </c>
      <c r="H9" s="64" t="s">
        <v>222</v>
      </c>
      <c r="I9" s="49">
        <f t="shared" ref="I9:I12" si="6">I8</f>
        <v>3</v>
      </c>
      <c r="J9" s="49" t="str">
        <f t="shared" ref="J9:J12" si="7">J8</f>
        <v>LT 3</v>
      </c>
      <c r="K9" s="84">
        <f>'HKQ7'!Q11</f>
        <v>1453.8</v>
      </c>
      <c r="L9" s="84">
        <f>'HKQ7'!P11</f>
        <v>1833.2</v>
      </c>
      <c r="M9" s="84">
        <f>'[1]April-18'!M9</f>
        <v>1</v>
      </c>
      <c r="N9" s="84">
        <f t="shared" ref="N9:N10" si="8">(L9-K9)*M9</f>
        <v>379.40000000000009</v>
      </c>
      <c r="O9" s="84">
        <f>'HKQ7'!F11</f>
        <v>103.8</v>
      </c>
      <c r="P9" s="84">
        <f>'HKQ7'!E11</f>
        <v>148.5</v>
      </c>
      <c r="Q9" s="84">
        <f t="shared" ref="Q9:Q12" si="9">Q8</f>
        <v>1</v>
      </c>
      <c r="R9" s="84">
        <f t="shared" ref="R9:R10" si="10">(P9-O9)*Q9</f>
        <v>44.7</v>
      </c>
      <c r="S9" s="84">
        <f>'HKQ7'!K11</f>
        <v>970</v>
      </c>
      <c r="T9" s="84">
        <f>'HKQ7'!J11</f>
        <v>1303.5999999999999</v>
      </c>
      <c r="U9" s="84">
        <f>'[1]April-18'!U9</f>
        <v>1</v>
      </c>
      <c r="V9" s="84">
        <f t="shared" ref="V9:V10" si="11">(T9-S9)*U9</f>
        <v>333.59999999999991</v>
      </c>
      <c r="W9" s="85">
        <f t="shared" si="1"/>
        <v>4.2155555555555564</v>
      </c>
      <c r="X9" s="84"/>
      <c r="Y9" s="82" t="str">
        <f>'HKQ7'!B11</f>
        <v>01.11.2019</v>
      </c>
      <c r="Z9" s="40">
        <f>N16+N23+N30+N37+N44+N51+N58+N65+N72+N79+N86+N93+N100+N107+N114+N121+N128+N135+N9+N143</f>
        <v>6198.4000000000015</v>
      </c>
      <c r="AA9" s="40">
        <f>O16+O23+O30+O37+O44+O51+O58+O65+O72+O79+O86+O93+O100+O107+O114+O121+O128+O135</f>
        <v>23962.5</v>
      </c>
      <c r="AB9" s="40" t="e">
        <f>P16+P23+P30+P37+P44+P51+P58+P65+P72+P79+P86+P93+P100+P107+P114+P121+P128+P135</f>
        <v>#VALUE!</v>
      </c>
      <c r="AC9" s="40">
        <f>Q16+Q23+Q30+Q37+Q44+Q51+Q58+Q65+Q72+Q79+Q86+Q93+Q100+Q107+Q114+Q121+Q128+Q135</f>
        <v>17</v>
      </c>
      <c r="AD9" s="40">
        <f>R16+R23+R30+R37+R44+R51+R58+R65+R72+R79+R86+R93+R100+R107+R114+R121+R128+R135</f>
        <v>2515.4999999999995</v>
      </c>
    </row>
    <row r="10" spans="1:30" s="40" customFormat="1" ht="39.950000000000003" customHeight="1" x14ac:dyDescent="0.25">
      <c r="A10" s="49">
        <v>5</v>
      </c>
      <c r="B10" s="50" t="s">
        <v>43</v>
      </c>
      <c r="C10" s="56" t="str">
        <f t="shared" si="3"/>
        <v>HDKOTE/1714</v>
      </c>
      <c r="D10" s="51" t="s">
        <v>125</v>
      </c>
      <c r="E10" s="55" t="str">
        <f t="shared" si="4"/>
        <v>HKQ7</v>
      </c>
      <c r="F10" s="62">
        <f t="shared" si="5"/>
        <v>2</v>
      </c>
      <c r="G10" s="49" t="s">
        <v>221</v>
      </c>
      <c r="H10" s="64" t="s">
        <v>222</v>
      </c>
      <c r="I10" s="49">
        <f t="shared" si="6"/>
        <v>3</v>
      </c>
      <c r="J10" s="49" t="str">
        <f t="shared" si="7"/>
        <v>LT 3</v>
      </c>
      <c r="K10" s="84">
        <f>'HKQ7'!Q12</f>
        <v>1833.2</v>
      </c>
      <c r="L10" s="84">
        <f>'HKQ7'!P12</f>
        <v>2157.1</v>
      </c>
      <c r="M10" s="84">
        <f>'[1]April-18'!M10</f>
        <v>1</v>
      </c>
      <c r="N10" s="84">
        <f t="shared" si="8"/>
        <v>323.89999999999986</v>
      </c>
      <c r="O10" s="84">
        <f>'HKQ7'!F12</f>
        <v>148.5</v>
      </c>
      <c r="P10" s="84">
        <f>'HKQ7'!E12</f>
        <v>225</v>
      </c>
      <c r="Q10" s="84">
        <f t="shared" si="9"/>
        <v>1</v>
      </c>
      <c r="R10" s="84">
        <f t="shared" si="10"/>
        <v>76.5</v>
      </c>
      <c r="S10" s="84">
        <f>'HKQ7'!K12</f>
        <v>1303.5999999999999</v>
      </c>
      <c r="T10" s="84">
        <f>'HKQ7'!J12</f>
        <v>1610</v>
      </c>
      <c r="U10" s="84">
        <f>'[1]April-18'!U10</f>
        <v>1</v>
      </c>
      <c r="V10" s="84">
        <f t="shared" si="11"/>
        <v>306.40000000000009</v>
      </c>
      <c r="W10" s="85">
        <f>N10/30/I10</f>
        <v>3.598888888888887</v>
      </c>
      <c r="X10" s="84"/>
      <c r="Y10" s="82" t="str">
        <f>'HKQ7'!B12</f>
        <v>01.12.2019</v>
      </c>
    </row>
    <row r="11" spans="1:30" s="40" customFormat="1" ht="39.950000000000003" customHeight="1" x14ac:dyDescent="0.25">
      <c r="A11" s="49">
        <v>6</v>
      </c>
      <c r="B11" s="50" t="s">
        <v>43</v>
      </c>
      <c r="C11" s="56" t="str">
        <f>C10</f>
        <v>HDKOTE/1714</v>
      </c>
      <c r="D11" s="51" t="s">
        <v>125</v>
      </c>
      <c r="E11" s="55" t="str">
        <f>E10</f>
        <v>HKQ7</v>
      </c>
      <c r="F11" s="62">
        <f>F10</f>
        <v>2</v>
      </c>
      <c r="G11" s="49" t="s">
        <v>221</v>
      </c>
      <c r="H11" s="64" t="s">
        <v>222</v>
      </c>
      <c r="I11" s="49">
        <f>I10</f>
        <v>3</v>
      </c>
      <c r="J11" s="49" t="str">
        <f>J10</f>
        <v>LT 3</v>
      </c>
      <c r="K11" s="84">
        <f>'HKQ7'!Q13</f>
        <v>2157.1</v>
      </c>
      <c r="L11" s="84">
        <f>'HKQ7'!P13</f>
        <v>2450</v>
      </c>
      <c r="M11" s="84">
        <f>'[1]April-18'!M11</f>
        <v>1</v>
      </c>
      <c r="N11" s="84">
        <f t="shared" ref="N11:N12" si="12">(L11-K11)*M11</f>
        <v>292.90000000000009</v>
      </c>
      <c r="O11" s="84">
        <f>'HKQ7'!F13</f>
        <v>225</v>
      </c>
      <c r="P11" s="84">
        <f>'HKQ7'!E13</f>
        <v>264.89999999999998</v>
      </c>
      <c r="Q11" s="84">
        <f>Q10</f>
        <v>1</v>
      </c>
      <c r="R11" s="84">
        <f t="shared" ref="R11:R12" si="13">(P11-O11)*Q11</f>
        <v>39.899999999999977</v>
      </c>
      <c r="S11" s="84">
        <f>'HKQ7'!K13</f>
        <v>1610</v>
      </c>
      <c r="T11" s="84">
        <f>'HKQ7'!J13</f>
        <v>1882.3</v>
      </c>
      <c r="U11" s="84">
        <f>'[1]April-18'!U11</f>
        <v>1</v>
      </c>
      <c r="V11" s="84">
        <f t="shared" ref="V11:V12" si="14">(T11-S11)*U11</f>
        <v>272.29999999999995</v>
      </c>
      <c r="W11" s="85">
        <f t="shared" ref="W11" si="15">N11/30/I11</f>
        <v>3.2544444444444456</v>
      </c>
      <c r="X11" s="84"/>
      <c r="Y11" s="82" t="str">
        <f>'HKQ7'!B13</f>
        <v>01.01.2020</v>
      </c>
    </row>
    <row r="12" spans="1:30" s="40" customFormat="1" ht="39.950000000000003" customHeight="1" x14ac:dyDescent="0.25">
      <c r="A12" s="49">
        <v>7</v>
      </c>
      <c r="B12" s="50" t="s">
        <v>43</v>
      </c>
      <c r="C12" s="56" t="str">
        <f t="shared" si="3"/>
        <v>HDKOTE/1714</v>
      </c>
      <c r="D12" s="51" t="s">
        <v>125</v>
      </c>
      <c r="E12" s="55" t="str">
        <f t="shared" si="4"/>
        <v>HKQ7</v>
      </c>
      <c r="F12" s="62">
        <f t="shared" si="5"/>
        <v>2</v>
      </c>
      <c r="G12" s="49" t="s">
        <v>221</v>
      </c>
      <c r="H12" s="64" t="s">
        <v>222</v>
      </c>
      <c r="I12" s="49">
        <f t="shared" si="6"/>
        <v>3</v>
      </c>
      <c r="J12" s="49" t="str">
        <f t="shared" si="7"/>
        <v>LT 3</v>
      </c>
      <c r="K12" s="84">
        <f>'HKQ7'!Q14</f>
        <v>2450</v>
      </c>
      <c r="L12" s="84">
        <f>'HKQ7'!P14</f>
        <v>2791</v>
      </c>
      <c r="M12" s="84">
        <f>'[1]April-18'!M12</f>
        <v>1</v>
      </c>
      <c r="N12" s="84">
        <f t="shared" si="12"/>
        <v>341</v>
      </c>
      <c r="O12" s="84">
        <f>'HKQ7'!F14</f>
        <v>264.89999999999998</v>
      </c>
      <c r="P12" s="84">
        <f>'HKQ7'!E14</f>
        <v>297</v>
      </c>
      <c r="Q12" s="84">
        <f t="shared" si="9"/>
        <v>1</v>
      </c>
      <c r="R12" s="84">
        <f t="shared" si="13"/>
        <v>32.100000000000023</v>
      </c>
      <c r="S12" s="84">
        <f>'HKQ7'!K14</f>
        <v>1882.3</v>
      </c>
      <c r="T12" s="84">
        <f>'HKQ7'!J14</f>
        <v>2206</v>
      </c>
      <c r="U12" s="84">
        <f>'[1]April-18'!U12</f>
        <v>1</v>
      </c>
      <c r="V12" s="84">
        <f t="shared" si="14"/>
        <v>323.70000000000005</v>
      </c>
      <c r="W12" s="85">
        <f>N12/30/I12</f>
        <v>3.7888888888888892</v>
      </c>
      <c r="X12" s="84"/>
      <c r="Y12" s="82" t="s">
        <v>253</v>
      </c>
    </row>
    <row r="13" spans="1:30" s="40" customFormat="1" ht="39.950000000000003" customHeight="1" x14ac:dyDescent="0.25">
      <c r="A13" s="49">
        <v>1</v>
      </c>
      <c r="B13" s="50" t="s">
        <v>43</v>
      </c>
      <c r="C13" s="56" t="s">
        <v>229</v>
      </c>
      <c r="D13" s="51" t="s">
        <v>133</v>
      </c>
      <c r="E13" s="55" t="s">
        <v>129</v>
      </c>
      <c r="F13" s="50">
        <v>3</v>
      </c>
      <c r="G13" s="49" t="s">
        <v>221</v>
      </c>
      <c r="H13" s="64" t="s">
        <v>222</v>
      </c>
      <c r="I13" s="49">
        <v>3</v>
      </c>
      <c r="J13" s="49" t="s">
        <v>224</v>
      </c>
      <c r="K13" s="84">
        <f>HAEH224!Q8</f>
        <v>1593.02</v>
      </c>
      <c r="L13" s="84">
        <f>HAEH224!P8</f>
        <v>1871</v>
      </c>
      <c r="M13" s="84">
        <f>'[1]April-18'!M7</f>
        <v>1</v>
      </c>
      <c r="N13" s="84">
        <f t="shared" si="0"/>
        <v>277.98</v>
      </c>
      <c r="O13" s="84">
        <f>HAEH224!F8</f>
        <v>85.4</v>
      </c>
      <c r="P13" s="84">
        <f>HAEH224!E8</f>
        <v>171.8</v>
      </c>
      <c r="Q13" s="84">
        <v>1</v>
      </c>
      <c r="R13" s="84">
        <f t="shared" ref="R13:R139" si="16">(P13-O13)*Q13</f>
        <v>86.4</v>
      </c>
      <c r="S13" s="84">
        <f>HAEH224!K8</f>
        <v>195.2</v>
      </c>
      <c r="T13" s="84">
        <f>HAEH224!J8</f>
        <v>402.6</v>
      </c>
      <c r="U13" s="84">
        <f>'[1]April-18'!U7</f>
        <v>1</v>
      </c>
      <c r="V13" s="84">
        <f t="shared" ref="V13:V139" si="17">(T13-S13)*U13</f>
        <v>207.40000000000003</v>
      </c>
      <c r="W13" s="85">
        <f t="shared" ref="W13:W98" si="18">N13/30/I13</f>
        <v>3.0886666666666667</v>
      </c>
      <c r="X13" s="86"/>
      <c r="Y13" s="82" t="str">
        <f>HAEH224!B8</f>
        <v>01.08.2019</v>
      </c>
      <c r="AA13" s="40">
        <f>R13+R16+R24+R31+R38+R45+R55+R59+R66+R73+R80+R87+R94+R101+R115+R122+R129</f>
        <v>2594.0999999999995</v>
      </c>
    </row>
    <row r="14" spans="1:30" s="40" customFormat="1" ht="39.950000000000003" customHeight="1" x14ac:dyDescent="0.25">
      <c r="A14" s="49">
        <v>2</v>
      </c>
      <c r="B14" s="50" t="s">
        <v>43</v>
      </c>
      <c r="C14" s="56" t="str">
        <f>C13</f>
        <v>HDKOTE/1714</v>
      </c>
      <c r="D14" s="51" t="s">
        <v>133</v>
      </c>
      <c r="E14" s="55" t="str">
        <f>E13</f>
        <v>HAEH224</v>
      </c>
      <c r="F14" s="50">
        <f>F13</f>
        <v>3</v>
      </c>
      <c r="G14" s="49" t="s">
        <v>221</v>
      </c>
      <c r="H14" s="64" t="s">
        <v>222</v>
      </c>
      <c r="I14" s="49">
        <f>I13</f>
        <v>3</v>
      </c>
      <c r="J14" s="49" t="str">
        <f>J13</f>
        <v>LT 3</v>
      </c>
      <c r="K14" s="84">
        <f>HAEH224!Q9</f>
        <v>1871</v>
      </c>
      <c r="L14" s="84">
        <f>HAEH224!P9</f>
        <v>2103</v>
      </c>
      <c r="M14" s="84">
        <f>'[1]April-18'!M8</f>
        <v>1</v>
      </c>
      <c r="N14" s="84">
        <f t="shared" ref="N14" si="19">(L14-K14)*M14</f>
        <v>232</v>
      </c>
      <c r="O14" s="84">
        <f>HAEH224!F9</f>
        <v>171.8</v>
      </c>
      <c r="P14" s="84">
        <f>HAEH224!E9</f>
        <v>267</v>
      </c>
      <c r="Q14" s="84">
        <f>Q13</f>
        <v>1</v>
      </c>
      <c r="R14" s="84">
        <f t="shared" ref="R14" si="20">(P14-O14)*Q14</f>
        <v>95.199999999999989</v>
      </c>
      <c r="S14" s="84">
        <f>HAEH224!K9</f>
        <v>402.6</v>
      </c>
      <c r="T14" s="84">
        <f>HAEH224!J9</f>
        <v>568</v>
      </c>
      <c r="U14" s="84">
        <f>'[1]April-18'!U8</f>
        <v>1</v>
      </c>
      <c r="V14" s="84">
        <f t="shared" ref="V14" si="21">(T14-S14)*U14</f>
        <v>165.39999999999998</v>
      </c>
      <c r="W14" s="85">
        <f t="shared" si="18"/>
        <v>2.5777777777777779</v>
      </c>
      <c r="X14" s="86"/>
      <c r="Y14" s="82" t="str">
        <f>HAEH224!B9</f>
        <v>01.09.2019</v>
      </c>
      <c r="AA14" s="40">
        <f>R14+R21+R28+R35+R42+R49+R56+R63+R70+R77+R84+R91+R98+R105+R119+R126+R133</f>
        <v>3035.9000000000005</v>
      </c>
    </row>
    <row r="15" spans="1:30" s="40" customFormat="1" ht="39.950000000000003" customHeight="1" x14ac:dyDescent="0.25">
      <c r="A15" s="49">
        <v>3</v>
      </c>
      <c r="B15" s="50" t="s">
        <v>43</v>
      </c>
      <c r="C15" s="56" t="str">
        <f>C14</f>
        <v>HDKOTE/1714</v>
      </c>
      <c r="D15" s="51" t="s">
        <v>133</v>
      </c>
      <c r="E15" s="55" t="str">
        <f>E14</f>
        <v>HAEH224</v>
      </c>
      <c r="F15" s="50">
        <f>F14</f>
        <v>3</v>
      </c>
      <c r="G15" s="49" t="s">
        <v>221</v>
      </c>
      <c r="H15" s="64" t="s">
        <v>222</v>
      </c>
      <c r="I15" s="49">
        <f>I14</f>
        <v>3</v>
      </c>
      <c r="J15" s="49" t="e">
        <f>#REF!</f>
        <v>#REF!</v>
      </c>
      <c r="K15" s="84">
        <f>HAEH224!Q10</f>
        <v>2103</v>
      </c>
      <c r="L15" s="84">
        <f>HAEH224!P10</f>
        <v>2393.1999999999998</v>
      </c>
      <c r="M15" s="84">
        <f>'[1]April-18'!M9</f>
        <v>1</v>
      </c>
      <c r="N15" s="84">
        <f t="shared" ref="N15:N16" si="22">(L15-K15)*M15</f>
        <v>290.19999999999982</v>
      </c>
      <c r="O15" s="84">
        <f>HAEH224!F10</f>
        <v>267</v>
      </c>
      <c r="P15" s="84">
        <f>HAEH224!E10</f>
        <v>358.5</v>
      </c>
      <c r="Q15" s="84">
        <f>Q14</f>
        <v>1</v>
      </c>
      <c r="R15" s="84">
        <f t="shared" ref="R15:R16" si="23">(P15-O15)*Q15</f>
        <v>91.5</v>
      </c>
      <c r="S15" s="84">
        <f>HAEH224!K10</f>
        <v>568</v>
      </c>
      <c r="T15" s="84">
        <f>HAEH224!J10</f>
        <v>786.9</v>
      </c>
      <c r="U15" s="84">
        <f>'[1]April-18'!U9</f>
        <v>1</v>
      </c>
      <c r="V15" s="84">
        <f t="shared" ref="V15:V16" si="24">(T15-S15)*U15</f>
        <v>218.89999999999998</v>
      </c>
      <c r="W15" s="85">
        <f t="shared" si="18"/>
        <v>3.2244444444444422</v>
      </c>
      <c r="X15" s="86"/>
      <c r="Y15" s="82" t="str">
        <f>HAEH224!B10</f>
        <v>01.10.2019</v>
      </c>
      <c r="AA15" s="40">
        <f>R15+R22+R29+R36+R43+R50+R57+R64+R71+R78+R85+R92+R99+R106+R120+R127+R134</f>
        <v>3126.2999999999993</v>
      </c>
    </row>
    <row r="16" spans="1:30" s="40" customFormat="1" ht="39.950000000000003" customHeight="1" x14ac:dyDescent="0.25">
      <c r="A16" s="49">
        <v>4</v>
      </c>
      <c r="B16" s="50" t="s">
        <v>43</v>
      </c>
      <c r="C16" s="56" t="str">
        <f>C14</f>
        <v>HDKOTE/1714</v>
      </c>
      <c r="D16" s="51" t="s">
        <v>133</v>
      </c>
      <c r="E16" s="55" t="str">
        <f>E14</f>
        <v>HAEH224</v>
      </c>
      <c r="F16" s="50">
        <f>F14</f>
        <v>3</v>
      </c>
      <c r="G16" s="49" t="s">
        <v>221</v>
      </c>
      <c r="H16" s="64" t="s">
        <v>222</v>
      </c>
      <c r="I16" s="49">
        <f>I14</f>
        <v>3</v>
      </c>
      <c r="J16" s="49" t="str">
        <f>J14</f>
        <v>LT 3</v>
      </c>
      <c r="K16" s="84">
        <f>HAEH224!Q11</f>
        <v>2393.1999999999998</v>
      </c>
      <c r="L16" s="84">
        <f>HAEH224!P11</f>
        <v>2417</v>
      </c>
      <c r="M16" s="84">
        <f>'[1]April-18'!M10</f>
        <v>1</v>
      </c>
      <c r="N16" s="84">
        <f t="shared" si="22"/>
        <v>23.800000000000182</v>
      </c>
      <c r="O16" s="84">
        <f>HAEH224!F11</f>
        <v>358.5</v>
      </c>
      <c r="P16" s="84">
        <f>HAEH224!E11</f>
        <v>514.29999999999995</v>
      </c>
      <c r="Q16" s="84">
        <f>Q14</f>
        <v>1</v>
      </c>
      <c r="R16" s="84">
        <f t="shared" si="23"/>
        <v>155.79999999999995</v>
      </c>
      <c r="S16" s="84">
        <f>HAEH224!K11</f>
        <v>786.9</v>
      </c>
      <c r="T16" s="84">
        <f>HAEH224!J11</f>
        <v>786.9</v>
      </c>
      <c r="U16" s="84">
        <f>'[1]April-18'!U10</f>
        <v>1</v>
      </c>
      <c r="V16" s="84">
        <f t="shared" si="24"/>
        <v>0</v>
      </c>
      <c r="W16" s="85">
        <f t="shared" si="18"/>
        <v>0.26444444444444648</v>
      </c>
      <c r="X16" s="86"/>
      <c r="Y16" s="82" t="str">
        <f>HAEH224!B11</f>
        <v>01.11.2019</v>
      </c>
      <c r="AA16" s="40">
        <f>R16+R23+R30+R37+R44+R51+R58+R65+R72+R79+R86+R93+R100+R107+R121+R128+R135+R143+R9</f>
        <v>4760.2000000000016</v>
      </c>
    </row>
    <row r="17" spans="1:26" s="40" customFormat="1" ht="39.950000000000003" customHeight="1" x14ac:dyDescent="0.25">
      <c r="A17" s="49">
        <v>5</v>
      </c>
      <c r="B17" s="50" t="s">
        <v>43</v>
      </c>
      <c r="C17" s="56" t="str">
        <f t="shared" ref="C17:C19" si="25">C15</f>
        <v>HDKOTE/1714</v>
      </c>
      <c r="D17" s="51" t="s">
        <v>133</v>
      </c>
      <c r="E17" s="55" t="str">
        <f t="shared" ref="E17:F19" si="26">E15</f>
        <v>HAEH224</v>
      </c>
      <c r="F17" s="50">
        <f t="shared" si="26"/>
        <v>3</v>
      </c>
      <c r="G17" s="49" t="s">
        <v>221</v>
      </c>
      <c r="H17" s="64" t="s">
        <v>222</v>
      </c>
      <c r="I17" s="49">
        <f t="shared" ref="I17:J19" si="27">I15</f>
        <v>3</v>
      </c>
      <c r="J17" s="49" t="e">
        <f t="shared" si="27"/>
        <v>#REF!</v>
      </c>
      <c r="K17" s="84">
        <f>HAEH224!Q12</f>
        <v>2417</v>
      </c>
      <c r="L17" s="84">
        <f>HAEH224!P12</f>
        <v>2440</v>
      </c>
      <c r="M17" s="84">
        <f>'[1]April-18'!M11</f>
        <v>1</v>
      </c>
      <c r="N17" s="84">
        <f t="shared" ref="N17" si="28">(L17-K17)*M17</f>
        <v>23</v>
      </c>
      <c r="O17" s="84">
        <f>HAEH224!F12</f>
        <v>514.29999999999995</v>
      </c>
      <c r="P17" s="84">
        <f>HAEH224!E12</f>
        <v>650.79999999999995</v>
      </c>
      <c r="Q17" s="84">
        <f t="shared" ref="Q17:Q19" si="29">Q15</f>
        <v>1</v>
      </c>
      <c r="R17" s="84">
        <f t="shared" ref="R17" si="30">(P17-O17)*Q17</f>
        <v>136.5</v>
      </c>
      <c r="S17" s="84">
        <f>HAEH224!K12</f>
        <v>786.9</v>
      </c>
      <c r="T17" s="84">
        <f>HAEH224!J12</f>
        <v>786.9</v>
      </c>
      <c r="U17" s="84">
        <f>'[1]April-18'!U11</f>
        <v>1</v>
      </c>
      <c r="V17" s="84">
        <f t="shared" ref="V17" si="31">(T17-S17)*U17</f>
        <v>0</v>
      </c>
      <c r="W17" s="85">
        <f t="shared" si="18"/>
        <v>0.25555555555555559</v>
      </c>
      <c r="X17" s="86" t="s">
        <v>250</v>
      </c>
      <c r="Y17" s="82" t="str">
        <f>HAEH224!B12</f>
        <v>01.12.2019</v>
      </c>
    </row>
    <row r="18" spans="1:26" s="40" customFormat="1" ht="39.950000000000003" customHeight="1" x14ac:dyDescent="0.25">
      <c r="A18" s="49">
        <v>6</v>
      </c>
      <c r="B18" s="50" t="s">
        <v>43</v>
      </c>
      <c r="C18" s="56" t="str">
        <f t="shared" si="25"/>
        <v>HDKOTE/1714</v>
      </c>
      <c r="D18" s="51" t="s">
        <v>133</v>
      </c>
      <c r="E18" s="55" t="str">
        <f t="shared" si="26"/>
        <v>HAEH224</v>
      </c>
      <c r="F18" s="50">
        <f t="shared" si="26"/>
        <v>3</v>
      </c>
      <c r="G18" s="49" t="s">
        <v>221</v>
      </c>
      <c r="H18" s="64" t="s">
        <v>222</v>
      </c>
      <c r="I18" s="49">
        <f t="shared" si="27"/>
        <v>3</v>
      </c>
      <c r="J18" s="49" t="str">
        <f t="shared" si="27"/>
        <v>LT 3</v>
      </c>
      <c r="K18" s="84">
        <f>HAEH224!Q13</f>
        <v>2440</v>
      </c>
      <c r="L18" s="84">
        <f>HAEH224!P13</f>
        <v>2623.8</v>
      </c>
      <c r="M18" s="84">
        <f>'[1]April-18'!M12</f>
        <v>1</v>
      </c>
      <c r="N18" s="84">
        <f t="shared" ref="N18:N19" si="32">(L18-K18)*M18</f>
        <v>183.80000000000018</v>
      </c>
      <c r="O18" s="84">
        <f>HAEH224!F13</f>
        <v>650.79999999999995</v>
      </c>
      <c r="P18" s="84">
        <f>HAEH224!E13</f>
        <v>748.4</v>
      </c>
      <c r="Q18" s="84">
        <f t="shared" si="29"/>
        <v>1</v>
      </c>
      <c r="R18" s="84">
        <f t="shared" ref="R18:R19" si="33">(P18-O18)*Q18</f>
        <v>97.600000000000023</v>
      </c>
      <c r="S18" s="84">
        <f>HAEH224!K13</f>
        <v>786.9</v>
      </c>
      <c r="T18" s="84">
        <f>HAEH224!J13</f>
        <v>932.4</v>
      </c>
      <c r="U18" s="84">
        <f>'[1]April-18'!U12</f>
        <v>1</v>
      </c>
      <c r="V18" s="84">
        <f t="shared" ref="V18:V19" si="34">(T18-S18)*U18</f>
        <v>145.5</v>
      </c>
      <c r="W18" s="85">
        <f t="shared" ref="W18:W19" si="35">N18/30/I18</f>
        <v>2.0422222222222244</v>
      </c>
      <c r="X18" s="86"/>
      <c r="Y18" s="82" t="str">
        <f>HAEH224!B13</f>
        <v>01.01.2020</v>
      </c>
    </row>
    <row r="19" spans="1:26" s="40" customFormat="1" ht="39.950000000000003" customHeight="1" x14ac:dyDescent="0.25">
      <c r="A19" s="49">
        <v>7</v>
      </c>
      <c r="B19" s="50" t="s">
        <v>43</v>
      </c>
      <c r="C19" s="56" t="str">
        <f t="shared" si="25"/>
        <v>HDKOTE/1714</v>
      </c>
      <c r="D19" s="51" t="s">
        <v>133</v>
      </c>
      <c r="E19" s="55" t="str">
        <f t="shared" si="26"/>
        <v>HAEH224</v>
      </c>
      <c r="F19" s="50">
        <f t="shared" si="26"/>
        <v>3</v>
      </c>
      <c r="G19" s="49" t="s">
        <v>221</v>
      </c>
      <c r="H19" s="64" t="s">
        <v>222</v>
      </c>
      <c r="I19" s="49">
        <f t="shared" si="27"/>
        <v>3</v>
      </c>
      <c r="J19" s="49" t="e">
        <f t="shared" si="27"/>
        <v>#REF!</v>
      </c>
      <c r="K19" s="84">
        <f>HAEH224!Q14</f>
        <v>2623.8</v>
      </c>
      <c r="L19" s="84">
        <f>HAEH224!P14</f>
        <v>2971.3</v>
      </c>
      <c r="M19" s="84">
        <f>'[1]April-18'!M13</f>
        <v>1</v>
      </c>
      <c r="N19" s="84">
        <f t="shared" si="32"/>
        <v>347.5</v>
      </c>
      <c r="O19" s="84">
        <f>HAEH224!F14</f>
        <v>748.4</v>
      </c>
      <c r="P19" s="84">
        <f>HAEH224!E14</f>
        <v>811.7</v>
      </c>
      <c r="Q19" s="84">
        <f t="shared" si="29"/>
        <v>1</v>
      </c>
      <c r="R19" s="84">
        <f t="shared" si="33"/>
        <v>63.300000000000068</v>
      </c>
      <c r="S19" s="84">
        <f>HAEH224!K14</f>
        <v>932.4</v>
      </c>
      <c r="T19" s="84">
        <f>HAEH224!J14</f>
        <v>1227.5999999999999</v>
      </c>
      <c r="U19" s="84">
        <f>'[1]April-18'!U13</f>
        <v>1</v>
      </c>
      <c r="V19" s="84">
        <f t="shared" si="34"/>
        <v>295.19999999999993</v>
      </c>
      <c r="W19" s="85">
        <f t="shared" si="35"/>
        <v>3.8611111111111112</v>
      </c>
      <c r="X19" s="86"/>
      <c r="Y19" s="82" t="s">
        <v>253</v>
      </c>
    </row>
    <row r="20" spans="1:26" s="40" customFormat="1" ht="39.950000000000003" customHeight="1" x14ac:dyDescent="0.25">
      <c r="A20" s="49">
        <v>1</v>
      </c>
      <c r="B20" s="50" t="s">
        <v>43</v>
      </c>
      <c r="C20" s="56" t="s">
        <v>229</v>
      </c>
      <c r="D20" s="51" t="s">
        <v>137</v>
      </c>
      <c r="E20" s="55" t="s">
        <v>135</v>
      </c>
      <c r="F20" s="50">
        <v>0.88</v>
      </c>
      <c r="G20" s="49" t="s">
        <v>221</v>
      </c>
      <c r="H20" s="64" t="s">
        <v>222</v>
      </c>
      <c r="I20" s="49">
        <v>3</v>
      </c>
      <c r="J20" s="49" t="s">
        <v>224</v>
      </c>
      <c r="K20" s="84">
        <f>'HKL546'!Q8</f>
        <v>6120</v>
      </c>
      <c r="L20" s="84">
        <f>'HKL546'!P8</f>
        <v>6298</v>
      </c>
      <c r="M20" s="84">
        <f>'[1]April-18'!M8</f>
        <v>1</v>
      </c>
      <c r="N20" s="84">
        <f t="shared" si="0"/>
        <v>178</v>
      </c>
      <c r="O20" s="84">
        <f>'HKL546'!F8</f>
        <v>653.6</v>
      </c>
      <c r="P20" s="84">
        <f>'HKL546'!E8</f>
        <v>1362.7</v>
      </c>
      <c r="Q20" s="84">
        <v>1</v>
      </c>
      <c r="R20" s="84">
        <f t="shared" si="16"/>
        <v>709.1</v>
      </c>
      <c r="S20" s="84">
        <f>'HKL546'!K8</f>
        <v>7.1</v>
      </c>
      <c r="T20" s="84">
        <f>'HKL546'!J8</f>
        <v>15.8</v>
      </c>
      <c r="U20" s="84">
        <f>'[1]April-18'!U8</f>
        <v>1</v>
      </c>
      <c r="V20" s="84">
        <f t="shared" si="17"/>
        <v>8.7000000000000011</v>
      </c>
      <c r="W20" s="85">
        <f t="shared" si="18"/>
        <v>1.9777777777777779</v>
      </c>
      <c r="X20" s="86"/>
      <c r="Y20" s="82" t="str">
        <f>'HKL546'!B8</f>
        <v>01.08.2019</v>
      </c>
    </row>
    <row r="21" spans="1:26" s="40" customFormat="1" ht="39.75" customHeight="1" x14ac:dyDescent="0.25">
      <c r="A21" s="49">
        <v>2</v>
      </c>
      <c r="B21" s="50" t="s">
        <v>43</v>
      </c>
      <c r="C21" s="56" t="str">
        <f>C20</f>
        <v>HDKOTE/1714</v>
      </c>
      <c r="D21" s="51" t="s">
        <v>137</v>
      </c>
      <c r="E21" s="55" t="str">
        <f>E20</f>
        <v>HKL546</v>
      </c>
      <c r="F21" s="50">
        <f>F20</f>
        <v>0.88</v>
      </c>
      <c r="G21" s="49" t="s">
        <v>221</v>
      </c>
      <c r="H21" s="64" t="s">
        <v>222</v>
      </c>
      <c r="I21" s="49">
        <f>I20</f>
        <v>3</v>
      </c>
      <c r="J21" s="49" t="str">
        <f>J20</f>
        <v>LT 3</v>
      </c>
      <c r="K21" s="84">
        <f>'HKL546'!Q9</f>
        <v>6298</v>
      </c>
      <c r="L21" s="84">
        <f>'HKL546'!P9</f>
        <v>6453</v>
      </c>
      <c r="M21" s="84">
        <f>'[1]April-18'!M9</f>
        <v>1</v>
      </c>
      <c r="N21" s="84">
        <f t="shared" ref="N21" si="36">(L21-K21)*M21</f>
        <v>155</v>
      </c>
      <c r="O21" s="84">
        <f>'HKL546'!F9</f>
        <v>1362.7</v>
      </c>
      <c r="P21" s="84">
        <f>'HKL546'!E9</f>
        <v>1842</v>
      </c>
      <c r="Q21" s="84">
        <f>Q20</f>
        <v>1</v>
      </c>
      <c r="R21" s="84">
        <f t="shared" ref="R21" si="37">(P21-O21)*Q21</f>
        <v>479.29999999999995</v>
      </c>
      <c r="S21" s="84">
        <f>'HKL546'!K9</f>
        <v>15.8</v>
      </c>
      <c r="T21" s="84">
        <f>'HKL546'!J9</f>
        <v>31.6</v>
      </c>
      <c r="U21" s="84">
        <f>'[1]April-18'!U9</f>
        <v>1</v>
      </c>
      <c r="V21" s="84">
        <f t="shared" ref="V21" si="38">(T21-S21)*U21</f>
        <v>15.8</v>
      </c>
      <c r="W21" s="85">
        <f t="shared" si="18"/>
        <v>1.7222222222222223</v>
      </c>
      <c r="X21" s="86"/>
      <c r="Y21" s="82" t="str">
        <f>'HKL546'!B9</f>
        <v>01.09.2019</v>
      </c>
    </row>
    <row r="22" spans="1:26" s="40" customFormat="1" ht="39.950000000000003" customHeight="1" x14ac:dyDescent="0.25">
      <c r="A22" s="49">
        <v>3</v>
      </c>
      <c r="B22" s="50" t="s">
        <v>43</v>
      </c>
      <c r="C22" s="56" t="str">
        <f>C21</f>
        <v>HDKOTE/1714</v>
      </c>
      <c r="D22" s="51" t="s">
        <v>137</v>
      </c>
      <c r="E22" s="55" t="str">
        <f>E21</f>
        <v>HKL546</v>
      </c>
      <c r="F22" s="50">
        <f>F21</f>
        <v>0.88</v>
      </c>
      <c r="G22" s="49" t="s">
        <v>221</v>
      </c>
      <c r="H22" s="64" t="s">
        <v>222</v>
      </c>
      <c r="I22" s="49">
        <f>I21</f>
        <v>3</v>
      </c>
      <c r="J22" s="49" t="str">
        <f>J21</f>
        <v>LT 3</v>
      </c>
      <c r="K22" s="84">
        <f>'HKL546'!Q10</f>
        <v>6453</v>
      </c>
      <c r="L22" s="84">
        <f>'HKL546'!P10</f>
        <v>6469.9</v>
      </c>
      <c r="M22" s="84">
        <f>'[1]April-18'!M10</f>
        <v>1</v>
      </c>
      <c r="N22" s="84">
        <f t="shared" ref="N22" si="39">(L22-K22)*M22</f>
        <v>16.899999999999636</v>
      </c>
      <c r="O22" s="84">
        <f>'HKL546'!F10</f>
        <v>1842</v>
      </c>
      <c r="P22" s="84">
        <f>'HKL546'!E10</f>
        <v>2427.4</v>
      </c>
      <c r="Q22" s="84">
        <f>Q21</f>
        <v>1</v>
      </c>
      <c r="R22" s="84">
        <f t="shared" ref="R22" si="40">(P22-O22)*Q22</f>
        <v>585.40000000000009</v>
      </c>
      <c r="S22" s="84">
        <f>'HKL546'!K10</f>
        <v>31.6</v>
      </c>
      <c r="T22" s="84">
        <f>'HKL546'!J10</f>
        <v>33</v>
      </c>
      <c r="U22" s="84">
        <f>'[1]April-18'!U10</f>
        <v>1</v>
      </c>
      <c r="V22" s="84">
        <f t="shared" ref="V22" si="41">(T22-S22)*U22</f>
        <v>1.3999999999999986</v>
      </c>
      <c r="W22" s="85">
        <f t="shared" si="18"/>
        <v>0.18777777777777374</v>
      </c>
      <c r="X22" s="86"/>
      <c r="Y22" s="82" t="str">
        <f>'HKL546'!B10</f>
        <v>01.10.2019</v>
      </c>
    </row>
    <row r="23" spans="1:26" s="40" customFormat="1" ht="39.950000000000003" customHeight="1" x14ac:dyDescent="0.25">
      <c r="A23" s="49">
        <v>4</v>
      </c>
      <c r="B23" s="50" t="s">
        <v>43</v>
      </c>
      <c r="C23" s="56" t="str">
        <f t="shared" ref="C23:C26" si="42">C22</f>
        <v>HDKOTE/1714</v>
      </c>
      <c r="D23" s="51" t="s">
        <v>137</v>
      </c>
      <c r="E23" s="55" t="str">
        <f t="shared" ref="E23:E26" si="43">E22</f>
        <v>HKL546</v>
      </c>
      <c r="F23" s="50">
        <f t="shared" ref="F23:F26" si="44">F22</f>
        <v>0.88</v>
      </c>
      <c r="G23" s="49" t="s">
        <v>221</v>
      </c>
      <c r="H23" s="64" t="s">
        <v>222</v>
      </c>
      <c r="I23" s="49">
        <f t="shared" ref="I23:I26" si="45">I22</f>
        <v>3</v>
      </c>
      <c r="J23" s="49" t="str">
        <f t="shared" ref="J23:J26" si="46">J22</f>
        <v>LT 3</v>
      </c>
      <c r="K23" s="84">
        <f>'HKL546'!Q11</f>
        <v>6469.9</v>
      </c>
      <c r="L23" s="84">
        <f>'HKL546'!P11</f>
        <v>6526.6</v>
      </c>
      <c r="M23" s="84">
        <f>'[1]April-18'!M11</f>
        <v>1</v>
      </c>
      <c r="N23" s="84">
        <f t="shared" ref="N23:N24" si="47">(L23-K23)*M23</f>
        <v>56.700000000000728</v>
      </c>
      <c r="O23" s="84">
        <f>'HKL546'!F11</f>
        <v>2427.4</v>
      </c>
      <c r="P23" s="84">
        <f>'HKL546'!E11</f>
        <v>3023.5</v>
      </c>
      <c r="Q23" s="84">
        <f t="shared" ref="Q23:Q26" si="48">Q22</f>
        <v>1</v>
      </c>
      <c r="R23" s="84">
        <f t="shared" ref="R23:R24" si="49">(P23-O23)*Q23</f>
        <v>596.09999999999991</v>
      </c>
      <c r="S23" s="84">
        <f>'HKL546'!K11</f>
        <v>33</v>
      </c>
      <c r="T23" s="84">
        <f>'HKL546'!J11</f>
        <v>33.700000000000003</v>
      </c>
      <c r="U23" s="84">
        <f>'[1]April-18'!U11</f>
        <v>1</v>
      </c>
      <c r="V23" s="84">
        <f t="shared" ref="V23:V24" si="50">(T23-S23)*U23</f>
        <v>0.70000000000000284</v>
      </c>
      <c r="W23" s="85">
        <f t="shared" si="18"/>
        <v>0.63000000000000811</v>
      </c>
      <c r="X23" s="86"/>
      <c r="Y23" s="82" t="str">
        <f>'HKL546'!B11</f>
        <v>01.11.2019</v>
      </c>
    </row>
    <row r="24" spans="1:26" s="40" customFormat="1" ht="39.950000000000003" customHeight="1" x14ac:dyDescent="0.25">
      <c r="A24" s="49">
        <v>5</v>
      </c>
      <c r="B24" s="50" t="s">
        <v>43</v>
      </c>
      <c r="C24" s="56" t="str">
        <f t="shared" si="42"/>
        <v>HDKOTE/1714</v>
      </c>
      <c r="D24" s="51" t="s">
        <v>137</v>
      </c>
      <c r="E24" s="55" t="str">
        <f t="shared" si="43"/>
        <v>HKL546</v>
      </c>
      <c r="F24" s="50">
        <f t="shared" si="44"/>
        <v>0.88</v>
      </c>
      <c r="G24" s="49" t="s">
        <v>221</v>
      </c>
      <c r="H24" s="64" t="s">
        <v>222</v>
      </c>
      <c r="I24" s="49">
        <f t="shared" si="45"/>
        <v>3</v>
      </c>
      <c r="J24" s="49" t="str">
        <f t="shared" si="46"/>
        <v>LT 3</v>
      </c>
      <c r="K24" s="84">
        <f>'HKL546'!Q12</f>
        <v>6526.6</v>
      </c>
      <c r="L24" s="84">
        <f>'HKL546'!P12</f>
        <v>6700.8</v>
      </c>
      <c r="M24" s="84">
        <f>'[1]April-18'!M12</f>
        <v>1</v>
      </c>
      <c r="N24" s="84">
        <f t="shared" si="47"/>
        <v>174.19999999999982</v>
      </c>
      <c r="O24" s="84">
        <f>'HKL546'!F12</f>
        <v>3023.5</v>
      </c>
      <c r="P24" s="84">
        <f>'HKL546'!E12</f>
        <v>3499.6</v>
      </c>
      <c r="Q24" s="84">
        <f t="shared" si="48"/>
        <v>1</v>
      </c>
      <c r="R24" s="84">
        <f t="shared" si="49"/>
        <v>476.09999999999991</v>
      </c>
      <c r="S24" s="84">
        <f>'HKL546'!K12</f>
        <v>33.700000000000003</v>
      </c>
      <c r="T24" s="84">
        <f>'HKL546'!J12</f>
        <v>68.599999999999994</v>
      </c>
      <c r="U24" s="84">
        <f>'[1]April-18'!U12</f>
        <v>1</v>
      </c>
      <c r="V24" s="84">
        <f t="shared" si="50"/>
        <v>34.899999999999991</v>
      </c>
      <c r="W24" s="85">
        <f t="shared" si="18"/>
        <v>1.9355555555555535</v>
      </c>
      <c r="X24" s="86"/>
      <c r="Y24" s="82" t="str">
        <f>'HKL546'!B12</f>
        <v>02.12.2019</v>
      </c>
    </row>
    <row r="25" spans="1:26" s="40" customFormat="1" ht="39.950000000000003" customHeight="1" x14ac:dyDescent="0.25">
      <c r="A25" s="49">
        <v>6</v>
      </c>
      <c r="B25" s="50" t="s">
        <v>43</v>
      </c>
      <c r="C25" s="56" t="str">
        <f t="shared" si="42"/>
        <v>HDKOTE/1714</v>
      </c>
      <c r="D25" s="51" t="s">
        <v>137</v>
      </c>
      <c r="E25" s="55" t="str">
        <f t="shared" si="43"/>
        <v>HKL546</v>
      </c>
      <c r="F25" s="50">
        <f t="shared" si="44"/>
        <v>0.88</v>
      </c>
      <c r="G25" s="49" t="s">
        <v>221</v>
      </c>
      <c r="H25" s="64" t="s">
        <v>222</v>
      </c>
      <c r="I25" s="49">
        <f t="shared" si="45"/>
        <v>3</v>
      </c>
      <c r="J25" s="49" t="str">
        <f t="shared" si="46"/>
        <v>LT 3</v>
      </c>
      <c r="K25" s="84">
        <f>'HKL546'!Q13</f>
        <v>6700.8</v>
      </c>
      <c r="L25" s="84">
        <f>'HKL546'!P13</f>
        <v>6823.9</v>
      </c>
      <c r="M25" s="84">
        <f>'[1]April-18'!M13</f>
        <v>1</v>
      </c>
      <c r="N25" s="84">
        <f t="shared" ref="N25:N26" si="51">(L25-K25)*M25</f>
        <v>123.09999999999945</v>
      </c>
      <c r="O25" s="84">
        <f>'HKL546'!F13</f>
        <v>3499.6</v>
      </c>
      <c r="P25" s="84">
        <f>'HKL546'!E13</f>
        <v>3920.8</v>
      </c>
      <c r="Q25" s="84">
        <f t="shared" si="48"/>
        <v>1</v>
      </c>
      <c r="R25" s="84">
        <f t="shared" ref="R25:R26" si="52">(P25-O25)*Q25</f>
        <v>421.20000000000027</v>
      </c>
      <c r="S25" s="84">
        <f>'HKL546'!K13</f>
        <v>68.599999999999994</v>
      </c>
      <c r="T25" s="84">
        <f>'HKL546'!J13</f>
        <v>80.900000000000006</v>
      </c>
      <c r="U25" s="84">
        <f>'[1]April-18'!U13</f>
        <v>1</v>
      </c>
      <c r="V25" s="84">
        <f t="shared" ref="V25:V26" si="53">(T25-S25)*U25</f>
        <v>12.300000000000011</v>
      </c>
      <c r="W25" s="85">
        <f t="shared" ref="W25:W26" si="54">N25/30/I25</f>
        <v>1.3677777777777715</v>
      </c>
      <c r="X25" s="86" t="s">
        <v>250</v>
      </c>
      <c r="Y25" s="82" t="str">
        <f>'HKL546'!B13</f>
        <v>01.01.2020</v>
      </c>
    </row>
    <row r="26" spans="1:26" s="40" customFormat="1" ht="39.950000000000003" customHeight="1" x14ac:dyDescent="0.25">
      <c r="A26" s="49">
        <v>7</v>
      </c>
      <c r="B26" s="50" t="s">
        <v>43</v>
      </c>
      <c r="C26" s="56" t="str">
        <f t="shared" si="42"/>
        <v>HDKOTE/1714</v>
      </c>
      <c r="D26" s="51" t="s">
        <v>137</v>
      </c>
      <c r="E26" s="55" t="str">
        <f t="shared" si="43"/>
        <v>HKL546</v>
      </c>
      <c r="F26" s="50">
        <f t="shared" si="44"/>
        <v>0.88</v>
      </c>
      <c r="G26" s="49" t="s">
        <v>221</v>
      </c>
      <c r="H26" s="64" t="s">
        <v>222</v>
      </c>
      <c r="I26" s="49">
        <f t="shared" si="45"/>
        <v>3</v>
      </c>
      <c r="J26" s="49" t="str">
        <f t="shared" si="46"/>
        <v>LT 3</v>
      </c>
      <c r="K26" s="84">
        <f>'HKL546'!Q14</f>
        <v>6823.9</v>
      </c>
      <c r="L26" s="84">
        <f>'HKL546'!P14</f>
        <v>6949.8</v>
      </c>
      <c r="M26" s="84">
        <f>'[1]April-18'!M14</f>
        <v>1</v>
      </c>
      <c r="N26" s="84">
        <f t="shared" si="51"/>
        <v>125.90000000000055</v>
      </c>
      <c r="O26" s="84">
        <f>'HKL546'!F14</f>
        <v>3920.8</v>
      </c>
      <c r="P26" s="84">
        <f>'HKL546'!E14</f>
        <v>4406.8</v>
      </c>
      <c r="Q26" s="84">
        <f t="shared" si="48"/>
        <v>1</v>
      </c>
      <c r="R26" s="84">
        <f t="shared" si="52"/>
        <v>486</v>
      </c>
      <c r="S26" s="84">
        <f>'HKL546'!K14</f>
        <v>80.900000000000006</v>
      </c>
      <c r="T26" s="84">
        <f>'HKL546'!J14</f>
        <v>103.2</v>
      </c>
      <c r="U26" s="84">
        <f>'[1]April-18'!U14</f>
        <v>1</v>
      </c>
      <c r="V26" s="84">
        <f t="shared" si="53"/>
        <v>22.299999999999997</v>
      </c>
      <c r="W26" s="85">
        <f t="shared" si="54"/>
        <v>1.3988888888888951</v>
      </c>
      <c r="X26" s="86"/>
      <c r="Y26" s="82" t="s">
        <v>253</v>
      </c>
    </row>
    <row r="27" spans="1:26" s="40" customFormat="1" ht="39.950000000000003" customHeight="1" x14ac:dyDescent="0.25">
      <c r="A27" s="49">
        <v>1</v>
      </c>
      <c r="B27" s="50" t="s">
        <v>43</v>
      </c>
      <c r="C27" s="56" t="s">
        <v>229</v>
      </c>
      <c r="D27" s="51" t="s">
        <v>141</v>
      </c>
      <c r="E27" s="55" t="s">
        <v>140</v>
      </c>
      <c r="F27" s="50">
        <v>3</v>
      </c>
      <c r="G27" s="49" t="s">
        <v>221</v>
      </c>
      <c r="H27" s="64" t="s">
        <v>222</v>
      </c>
      <c r="I27" s="49">
        <v>3</v>
      </c>
      <c r="J27" s="49" t="s">
        <v>224</v>
      </c>
      <c r="K27" s="84">
        <f>HDTCL2809!Q8</f>
        <v>295</v>
      </c>
      <c r="L27" s="84">
        <f>HDTCL2809!P8</f>
        <v>503</v>
      </c>
      <c r="M27" s="84">
        <f>'[1]April-18'!M9</f>
        <v>1</v>
      </c>
      <c r="N27" s="84">
        <f t="shared" si="0"/>
        <v>208</v>
      </c>
      <c r="O27" s="84">
        <f>HDTCL2809!F8</f>
        <v>93.5</v>
      </c>
      <c r="P27" s="84">
        <f>HDTCL2809!E8</f>
        <v>193.6</v>
      </c>
      <c r="Q27" s="84">
        <v>1</v>
      </c>
      <c r="R27" s="84">
        <f t="shared" si="16"/>
        <v>100.1</v>
      </c>
      <c r="S27" s="84">
        <f>HDTCL2809!K8</f>
        <v>111.3</v>
      </c>
      <c r="T27" s="84">
        <f>HDTCL2809!J8</f>
        <v>237.3</v>
      </c>
      <c r="U27" s="84">
        <f>'[1]April-18'!U9</f>
        <v>1</v>
      </c>
      <c r="V27" s="84">
        <f t="shared" si="17"/>
        <v>126.00000000000001</v>
      </c>
      <c r="W27" s="85">
        <f t="shared" si="18"/>
        <v>2.3111111111111113</v>
      </c>
      <c r="X27" s="84"/>
      <c r="Y27" s="82" t="str">
        <f>HDTCL2809!B8</f>
        <v>01.08.2019</v>
      </c>
      <c r="Z27" s="52"/>
    </row>
    <row r="28" spans="1:26" s="40" customFormat="1" ht="39.950000000000003" customHeight="1" x14ac:dyDescent="0.25">
      <c r="A28" s="49">
        <v>2</v>
      </c>
      <c r="B28" s="50" t="s">
        <v>43</v>
      </c>
      <c r="C28" s="56" t="str">
        <f>C27</f>
        <v>HDKOTE/1714</v>
      </c>
      <c r="D28" s="51" t="s">
        <v>141</v>
      </c>
      <c r="E28" s="55" t="str">
        <f>E27</f>
        <v>HDTCL2809</v>
      </c>
      <c r="F28" s="50">
        <f>F27</f>
        <v>3</v>
      </c>
      <c r="G28" s="49" t="s">
        <v>221</v>
      </c>
      <c r="H28" s="64" t="s">
        <v>222</v>
      </c>
      <c r="I28" s="49">
        <f>I27</f>
        <v>3</v>
      </c>
      <c r="J28" s="49" t="str">
        <f>J27</f>
        <v>LT 3</v>
      </c>
      <c r="K28" s="84">
        <f>HDTCL2809!Q9</f>
        <v>503</v>
      </c>
      <c r="L28" s="84">
        <f>HDTCL2809!P9</f>
        <v>660</v>
      </c>
      <c r="M28" s="84">
        <f>'[1]April-18'!M10</f>
        <v>1</v>
      </c>
      <c r="N28" s="84">
        <f t="shared" ref="N28" si="55">(L28-K28)*M28</f>
        <v>157</v>
      </c>
      <c r="O28" s="84">
        <f>HDTCL2809!F9</f>
        <v>193.6</v>
      </c>
      <c r="P28" s="84">
        <f>HDTCL2809!E9</f>
        <v>313</v>
      </c>
      <c r="Q28" s="84">
        <f>Q27</f>
        <v>1</v>
      </c>
      <c r="R28" s="84">
        <f t="shared" ref="R28" si="56">(P28-O28)*Q28</f>
        <v>119.4</v>
      </c>
      <c r="S28" s="84">
        <f>HDTCL2809!K9</f>
        <v>237.3</v>
      </c>
      <c r="T28" s="84">
        <f>HDTCL2809!J9</f>
        <v>330</v>
      </c>
      <c r="U28" s="84">
        <f>'[1]April-18'!U10</f>
        <v>1</v>
      </c>
      <c r="V28" s="84">
        <f t="shared" ref="V28" si="57">(T28-S28)*U28</f>
        <v>92.699999999999989</v>
      </c>
      <c r="W28" s="85">
        <f t="shared" si="18"/>
        <v>1.7444444444444445</v>
      </c>
      <c r="X28" s="84"/>
      <c r="Y28" s="82" t="str">
        <f>HDTCL2809!B9</f>
        <v>01.09.2019</v>
      </c>
      <c r="Z28" s="52"/>
    </row>
    <row r="29" spans="1:26" s="40" customFormat="1" ht="39.950000000000003" customHeight="1" x14ac:dyDescent="0.25">
      <c r="A29" s="49">
        <v>3</v>
      </c>
      <c r="B29" s="50" t="s">
        <v>43</v>
      </c>
      <c r="C29" s="56" t="str">
        <f>C28</f>
        <v>HDKOTE/1714</v>
      </c>
      <c r="D29" s="51" t="s">
        <v>141</v>
      </c>
      <c r="E29" s="55" t="str">
        <f>E28</f>
        <v>HDTCL2809</v>
      </c>
      <c r="F29" s="50">
        <f>F28</f>
        <v>3</v>
      </c>
      <c r="G29" s="49" t="s">
        <v>221</v>
      </c>
      <c r="H29" s="64" t="s">
        <v>222</v>
      </c>
      <c r="I29" s="49">
        <f>I28</f>
        <v>3</v>
      </c>
      <c r="J29" s="49" t="str">
        <f>J28</f>
        <v>LT 3</v>
      </c>
      <c r="K29" s="84">
        <f>HDTCL2809!Q10</f>
        <v>660</v>
      </c>
      <c r="L29" s="84">
        <f>HDTCL2809!P10</f>
        <v>832.8</v>
      </c>
      <c r="M29" s="84">
        <f>'[1]April-18'!M11</f>
        <v>1</v>
      </c>
      <c r="N29" s="84">
        <f t="shared" ref="N29" si="58">(L29-K29)*M29</f>
        <v>172.79999999999995</v>
      </c>
      <c r="O29" s="84">
        <f>HDTCL2809!F10</f>
        <v>313</v>
      </c>
      <c r="P29" s="84">
        <f>HDTCL2809!E10</f>
        <v>415.4</v>
      </c>
      <c r="Q29" s="84">
        <f>Q28</f>
        <v>1</v>
      </c>
      <c r="R29" s="84">
        <f t="shared" ref="R29" si="59">(P29-O29)*Q29</f>
        <v>102.39999999999998</v>
      </c>
      <c r="S29" s="84">
        <f>HDTCL2809!K10</f>
        <v>330</v>
      </c>
      <c r="T29" s="84">
        <f>HDTCL2809!J10</f>
        <v>467.9</v>
      </c>
      <c r="U29" s="84">
        <f>'[1]April-18'!U11</f>
        <v>1</v>
      </c>
      <c r="V29" s="84">
        <f t="shared" ref="V29" si="60">(T29-S29)*U29</f>
        <v>137.89999999999998</v>
      </c>
      <c r="W29" s="85">
        <f t="shared" si="18"/>
        <v>1.9199999999999997</v>
      </c>
      <c r="X29" s="84"/>
      <c r="Y29" s="82" t="str">
        <f>HDTCL2809!B10</f>
        <v>01.10.2019</v>
      </c>
      <c r="Z29" s="52"/>
    </row>
    <row r="30" spans="1:26" s="40" customFormat="1" ht="39.950000000000003" customHeight="1" x14ac:dyDescent="0.25">
      <c r="A30" s="49">
        <v>4</v>
      </c>
      <c r="B30" s="50" t="s">
        <v>43</v>
      </c>
      <c r="C30" s="56" t="str">
        <f t="shared" ref="C30:C33" si="61">C29</f>
        <v>HDKOTE/1714</v>
      </c>
      <c r="D30" s="51" t="s">
        <v>141</v>
      </c>
      <c r="E30" s="55" t="str">
        <f t="shared" ref="E30:E33" si="62">E29</f>
        <v>HDTCL2809</v>
      </c>
      <c r="F30" s="50">
        <f t="shared" ref="F30:F33" si="63">F29</f>
        <v>3</v>
      </c>
      <c r="G30" s="49" t="s">
        <v>221</v>
      </c>
      <c r="H30" s="64" t="s">
        <v>222</v>
      </c>
      <c r="I30" s="49">
        <f t="shared" ref="I30:I33" si="64">I29</f>
        <v>3</v>
      </c>
      <c r="J30" s="49" t="str">
        <f t="shared" ref="J30:J33" si="65">J29</f>
        <v>LT 3</v>
      </c>
      <c r="K30" s="84">
        <f>HDTCL2809!Q11</f>
        <v>832.8</v>
      </c>
      <c r="L30" s="84">
        <f>HDTCL2809!P11</f>
        <v>1054</v>
      </c>
      <c r="M30" s="84">
        <f>'[1]April-18'!M12</f>
        <v>1</v>
      </c>
      <c r="N30" s="84">
        <f t="shared" ref="N30:N31" si="66">(L30-K30)*M30</f>
        <v>221.20000000000005</v>
      </c>
      <c r="O30" s="84">
        <f>HDTCL2809!F11</f>
        <v>415.4</v>
      </c>
      <c r="P30" s="84">
        <f>HDTCL2809!E11</f>
        <v>507</v>
      </c>
      <c r="Q30" s="84">
        <f t="shared" ref="Q30:Q33" si="67">Q29</f>
        <v>1</v>
      </c>
      <c r="R30" s="84">
        <f t="shared" ref="R30:R31" si="68">(P30-O30)*Q30</f>
        <v>91.600000000000023</v>
      </c>
      <c r="S30" s="84">
        <f>HDTCL2809!K11</f>
        <v>467.9</v>
      </c>
      <c r="T30" s="84">
        <f>HDTCL2809!J11</f>
        <v>591.4</v>
      </c>
      <c r="U30" s="84">
        <f>'[1]April-18'!U12</f>
        <v>1</v>
      </c>
      <c r="V30" s="84">
        <f t="shared" ref="V30:V31" si="69">(T30-S30)*U30</f>
        <v>123.5</v>
      </c>
      <c r="W30" s="85">
        <f t="shared" si="18"/>
        <v>2.4577777777777783</v>
      </c>
      <c r="X30" s="84"/>
      <c r="Y30" s="82" t="str">
        <f>HDTCL2809!B11</f>
        <v>01.11.2019</v>
      </c>
      <c r="Z30" s="52"/>
    </row>
    <row r="31" spans="1:26" s="40" customFormat="1" ht="39.950000000000003" customHeight="1" x14ac:dyDescent="0.25">
      <c r="A31" s="49">
        <v>5</v>
      </c>
      <c r="B31" s="50" t="s">
        <v>43</v>
      </c>
      <c r="C31" s="56" t="str">
        <f t="shared" si="61"/>
        <v>HDKOTE/1714</v>
      </c>
      <c r="D31" s="51" t="s">
        <v>141</v>
      </c>
      <c r="E31" s="55" t="str">
        <f t="shared" si="62"/>
        <v>HDTCL2809</v>
      </c>
      <c r="F31" s="50">
        <f t="shared" si="63"/>
        <v>3</v>
      </c>
      <c r="G31" s="49" t="s">
        <v>221</v>
      </c>
      <c r="H31" s="64" t="s">
        <v>222</v>
      </c>
      <c r="I31" s="49">
        <f t="shared" si="64"/>
        <v>3</v>
      </c>
      <c r="J31" s="49" t="str">
        <f t="shared" si="65"/>
        <v>LT 3</v>
      </c>
      <c r="K31" s="84">
        <f>HDTCL2809!Q12</f>
        <v>1054</v>
      </c>
      <c r="L31" s="84">
        <f>HDTCL2809!P12</f>
        <v>1229</v>
      </c>
      <c r="M31" s="84">
        <f>'[1]April-18'!M13</f>
        <v>1</v>
      </c>
      <c r="N31" s="84">
        <f t="shared" si="66"/>
        <v>175</v>
      </c>
      <c r="O31" s="84">
        <f>HDTCL2809!F12</f>
        <v>507</v>
      </c>
      <c r="P31" s="84">
        <f>HDTCL2809!E12</f>
        <v>600.6</v>
      </c>
      <c r="Q31" s="84">
        <f t="shared" si="67"/>
        <v>1</v>
      </c>
      <c r="R31" s="84">
        <f t="shared" si="68"/>
        <v>93.600000000000023</v>
      </c>
      <c r="S31" s="84">
        <f>HDTCL2809!K12</f>
        <v>591.4</v>
      </c>
      <c r="T31" s="84">
        <f>HDTCL2809!J12</f>
        <v>697.4</v>
      </c>
      <c r="U31" s="84">
        <f>'[1]April-18'!U13</f>
        <v>1</v>
      </c>
      <c r="V31" s="84">
        <f t="shared" si="69"/>
        <v>106</v>
      </c>
      <c r="W31" s="85">
        <f t="shared" si="18"/>
        <v>1.9444444444444444</v>
      </c>
      <c r="X31" s="84"/>
      <c r="Y31" s="82" t="str">
        <f>HDTCL2809!B12</f>
        <v>01.12.2019</v>
      </c>
      <c r="Z31" s="52"/>
    </row>
    <row r="32" spans="1:26" s="40" customFormat="1" ht="39.950000000000003" customHeight="1" x14ac:dyDescent="0.25">
      <c r="A32" s="49">
        <v>6</v>
      </c>
      <c r="B32" s="50" t="s">
        <v>43</v>
      </c>
      <c r="C32" s="56" t="str">
        <f t="shared" si="61"/>
        <v>HDKOTE/1714</v>
      </c>
      <c r="D32" s="51" t="s">
        <v>141</v>
      </c>
      <c r="E32" s="55" t="str">
        <f t="shared" si="62"/>
        <v>HDTCL2809</v>
      </c>
      <c r="F32" s="50">
        <f t="shared" si="63"/>
        <v>3</v>
      </c>
      <c r="G32" s="49" t="s">
        <v>221</v>
      </c>
      <c r="H32" s="64" t="s">
        <v>222</v>
      </c>
      <c r="I32" s="49">
        <f t="shared" si="64"/>
        <v>3</v>
      </c>
      <c r="J32" s="49" t="str">
        <f t="shared" si="65"/>
        <v>LT 3</v>
      </c>
      <c r="K32" s="84">
        <f>HDTCL2809!Q13</f>
        <v>1229</v>
      </c>
      <c r="L32" s="84">
        <f>HDTCL2809!P13</f>
        <v>1378</v>
      </c>
      <c r="M32" s="84">
        <f>'[1]April-18'!M14</f>
        <v>1</v>
      </c>
      <c r="N32" s="84">
        <f t="shared" ref="N32:N33" si="70">(L32-K32)*M32</f>
        <v>149</v>
      </c>
      <c r="O32" s="84">
        <f>HDTCL2809!F13</f>
        <v>600.6</v>
      </c>
      <c r="P32" s="84">
        <f>HDTCL2809!E13</f>
        <v>690.8</v>
      </c>
      <c r="Q32" s="84">
        <f t="shared" si="67"/>
        <v>1</v>
      </c>
      <c r="R32" s="84">
        <f t="shared" ref="R32:R33" si="71">(P32-O32)*Q32</f>
        <v>90.199999999999932</v>
      </c>
      <c r="S32" s="84">
        <f>HDTCL2809!K13</f>
        <v>697.4</v>
      </c>
      <c r="T32" s="84">
        <f>HDTCL2809!J13</f>
        <v>780.6</v>
      </c>
      <c r="U32" s="84">
        <f>'[1]April-18'!U14</f>
        <v>1</v>
      </c>
      <c r="V32" s="84">
        <f t="shared" ref="V32:V33" si="72">(T32-S32)*U32</f>
        <v>83.200000000000045</v>
      </c>
      <c r="W32" s="85">
        <f t="shared" ref="W32:W33" si="73">N32/30/I32</f>
        <v>1.6555555555555557</v>
      </c>
      <c r="X32" s="84"/>
      <c r="Y32" s="82" t="str">
        <f>HDTCL2809!B13</f>
        <v>01.01.2020</v>
      </c>
      <c r="Z32" s="52"/>
    </row>
    <row r="33" spans="1:26" s="40" customFormat="1" ht="39.950000000000003" customHeight="1" x14ac:dyDescent="0.25">
      <c r="A33" s="49">
        <v>7</v>
      </c>
      <c r="B33" s="50" t="s">
        <v>43</v>
      </c>
      <c r="C33" s="56" t="str">
        <f t="shared" si="61"/>
        <v>HDKOTE/1714</v>
      </c>
      <c r="D33" s="51" t="s">
        <v>141</v>
      </c>
      <c r="E33" s="55" t="str">
        <f t="shared" si="62"/>
        <v>HDTCL2809</v>
      </c>
      <c r="F33" s="50">
        <f t="shared" si="63"/>
        <v>3</v>
      </c>
      <c r="G33" s="49" t="s">
        <v>221</v>
      </c>
      <c r="H33" s="64" t="s">
        <v>222</v>
      </c>
      <c r="I33" s="49">
        <f t="shared" si="64"/>
        <v>3</v>
      </c>
      <c r="J33" s="49" t="str">
        <f t="shared" si="65"/>
        <v>LT 3</v>
      </c>
      <c r="K33" s="84">
        <f>HDTCL2809!Q14</f>
        <v>1378</v>
      </c>
      <c r="L33" s="84">
        <f>HDTCL2809!P14</f>
        <v>1499</v>
      </c>
      <c r="M33" s="84">
        <f>'[1]April-18'!M15</f>
        <v>1</v>
      </c>
      <c r="N33" s="84">
        <f t="shared" si="70"/>
        <v>121</v>
      </c>
      <c r="O33" s="84">
        <f>HDTCL2809!F14</f>
        <v>690.8</v>
      </c>
      <c r="P33" s="84">
        <f>HDTCL2809!E14</f>
        <v>781</v>
      </c>
      <c r="Q33" s="84">
        <f t="shared" si="67"/>
        <v>1</v>
      </c>
      <c r="R33" s="84">
        <f t="shared" si="71"/>
        <v>90.200000000000045</v>
      </c>
      <c r="S33" s="84">
        <f>HDTCL2809!K14</f>
        <v>780.6</v>
      </c>
      <c r="T33" s="84">
        <f>HDTCL2809!J14</f>
        <v>865</v>
      </c>
      <c r="U33" s="84">
        <f>'[1]April-18'!U15</f>
        <v>1</v>
      </c>
      <c r="V33" s="84">
        <f t="shared" si="72"/>
        <v>84.399999999999977</v>
      </c>
      <c r="W33" s="85">
        <f t="shared" si="73"/>
        <v>1.3444444444444443</v>
      </c>
      <c r="X33" s="84"/>
      <c r="Y33" s="82" t="s">
        <v>253</v>
      </c>
      <c r="Z33" s="52"/>
    </row>
    <row r="34" spans="1:26" s="40" customFormat="1" ht="39.950000000000003" customHeight="1" x14ac:dyDescent="0.25">
      <c r="A34" s="49">
        <v>1</v>
      </c>
      <c r="B34" s="50" t="s">
        <v>43</v>
      </c>
      <c r="C34" s="56" t="s">
        <v>229</v>
      </c>
      <c r="D34" s="51" t="s">
        <v>148</v>
      </c>
      <c r="E34" s="55" t="s">
        <v>149</v>
      </c>
      <c r="F34" s="50">
        <v>0.64</v>
      </c>
      <c r="G34" s="49" t="s">
        <v>221</v>
      </c>
      <c r="H34" s="64" t="s">
        <v>222</v>
      </c>
      <c r="I34" s="49">
        <v>3</v>
      </c>
      <c r="J34" s="49" t="s">
        <v>224</v>
      </c>
      <c r="K34" s="84">
        <f>'HKL263'!Q8</f>
        <v>1592.9</v>
      </c>
      <c r="L34" s="87">
        <f>'HKL263'!P8</f>
        <v>1779</v>
      </c>
      <c r="M34" s="87">
        <f>'[1]April-18'!M10</f>
        <v>1</v>
      </c>
      <c r="N34" s="84">
        <f t="shared" si="0"/>
        <v>186.09999999999991</v>
      </c>
      <c r="O34" s="84">
        <f>'HKL263'!F8</f>
        <v>98.6</v>
      </c>
      <c r="P34" s="87">
        <f>'HKL263'!E8</f>
        <v>190</v>
      </c>
      <c r="Q34" s="84">
        <v>1</v>
      </c>
      <c r="R34" s="84">
        <f t="shared" si="16"/>
        <v>91.4</v>
      </c>
      <c r="S34" s="84">
        <f>'HKL263'!K8</f>
        <v>119.4</v>
      </c>
      <c r="T34" s="87">
        <f>'HKL263'!J8</f>
        <v>220</v>
      </c>
      <c r="U34" s="84">
        <f>'[1]April-18'!U10</f>
        <v>1</v>
      </c>
      <c r="V34" s="84">
        <f t="shared" si="17"/>
        <v>100.6</v>
      </c>
      <c r="W34" s="85">
        <f t="shared" si="18"/>
        <v>2.0677777777777768</v>
      </c>
      <c r="X34" s="84"/>
      <c r="Y34" s="82" t="str">
        <f>'HKL263'!B8</f>
        <v>01.08.2019</v>
      </c>
    </row>
    <row r="35" spans="1:26" s="40" customFormat="1" ht="39.950000000000003" customHeight="1" x14ac:dyDescent="0.25">
      <c r="A35" s="49">
        <v>2</v>
      </c>
      <c r="B35" s="50" t="s">
        <v>43</v>
      </c>
      <c r="C35" s="56" t="str">
        <f>C34</f>
        <v>HDKOTE/1714</v>
      </c>
      <c r="D35" s="51" t="s">
        <v>148</v>
      </c>
      <c r="E35" s="55" t="str">
        <f>E34</f>
        <v>HKL263</v>
      </c>
      <c r="F35" s="50">
        <f>F34</f>
        <v>0.64</v>
      </c>
      <c r="G35" s="49" t="s">
        <v>221</v>
      </c>
      <c r="H35" s="64" t="s">
        <v>222</v>
      </c>
      <c r="I35" s="49">
        <f>I34</f>
        <v>3</v>
      </c>
      <c r="J35" s="49" t="str">
        <f>J34</f>
        <v>LT 3</v>
      </c>
      <c r="K35" s="84">
        <f>'HKL263'!Q9</f>
        <v>1779</v>
      </c>
      <c r="L35" s="87">
        <f>'HKL263'!P9</f>
        <v>1988</v>
      </c>
      <c r="M35" s="87">
        <f>'[1]April-18'!M11</f>
        <v>1</v>
      </c>
      <c r="N35" s="84">
        <f t="shared" ref="N35" si="74">(L35-K35)*M35</f>
        <v>209</v>
      </c>
      <c r="O35" s="84">
        <f>'HKL263'!F9</f>
        <v>190</v>
      </c>
      <c r="P35" s="87">
        <f>'HKL263'!E9</f>
        <v>299</v>
      </c>
      <c r="Q35" s="84">
        <f>Q34</f>
        <v>1</v>
      </c>
      <c r="R35" s="84">
        <f t="shared" ref="R35" si="75">(P35-O35)*Q35</f>
        <v>109</v>
      </c>
      <c r="S35" s="84">
        <f>'HKL263'!K9</f>
        <v>220</v>
      </c>
      <c r="T35" s="87">
        <f>'HKL263'!J9</f>
        <v>324</v>
      </c>
      <c r="U35" s="84">
        <f>'[1]April-18'!U11</f>
        <v>1</v>
      </c>
      <c r="V35" s="84">
        <f t="shared" ref="V35" si="76">(T35-S35)*U35</f>
        <v>104</v>
      </c>
      <c r="W35" s="85">
        <f t="shared" si="18"/>
        <v>2.3222222222222224</v>
      </c>
      <c r="X35" s="84"/>
      <c r="Y35" s="82" t="str">
        <f>'HKL263'!B9</f>
        <v>01.09.2019</v>
      </c>
    </row>
    <row r="36" spans="1:26" s="40" customFormat="1" ht="39.950000000000003" customHeight="1" x14ac:dyDescent="0.25">
      <c r="A36" s="49">
        <v>3</v>
      </c>
      <c r="B36" s="50" t="s">
        <v>43</v>
      </c>
      <c r="C36" s="56" t="str">
        <f>C35</f>
        <v>HDKOTE/1714</v>
      </c>
      <c r="D36" s="51" t="s">
        <v>148</v>
      </c>
      <c r="E36" s="55" t="str">
        <f>E35</f>
        <v>HKL263</v>
      </c>
      <c r="F36" s="50">
        <f>F35</f>
        <v>0.64</v>
      </c>
      <c r="G36" s="49" t="s">
        <v>221</v>
      </c>
      <c r="H36" s="64" t="s">
        <v>222</v>
      </c>
      <c r="I36" s="49">
        <f>I35</f>
        <v>3</v>
      </c>
      <c r="J36" s="49" t="str">
        <f>J35</f>
        <v>LT 3</v>
      </c>
      <c r="K36" s="84">
        <f>'HKL263'!Q10</f>
        <v>1988</v>
      </c>
      <c r="L36" s="87">
        <f>'HKL263'!P10</f>
        <v>2209.6</v>
      </c>
      <c r="M36" s="87">
        <f>'[1]April-18'!M12</f>
        <v>1</v>
      </c>
      <c r="N36" s="84">
        <f t="shared" ref="N36" si="77">(L36-K36)*M36</f>
        <v>221.59999999999991</v>
      </c>
      <c r="O36" s="84">
        <f>'HKL263'!F10</f>
        <v>299</v>
      </c>
      <c r="P36" s="87">
        <f>'HKL263'!E10</f>
        <v>402</v>
      </c>
      <c r="Q36" s="84">
        <f>Q35</f>
        <v>1</v>
      </c>
      <c r="R36" s="84">
        <f t="shared" ref="R36" si="78">(P36-O36)*Q36</f>
        <v>103</v>
      </c>
      <c r="S36" s="84">
        <f>'HKL263'!K10</f>
        <v>324</v>
      </c>
      <c r="T36" s="87">
        <f>'HKL263'!J10</f>
        <v>417</v>
      </c>
      <c r="U36" s="84">
        <f>'[1]April-18'!U12</f>
        <v>1</v>
      </c>
      <c r="V36" s="84">
        <f t="shared" ref="V36" si="79">(T36-S36)*U36</f>
        <v>93</v>
      </c>
      <c r="W36" s="85">
        <f t="shared" si="18"/>
        <v>2.4622222222222212</v>
      </c>
      <c r="X36" s="84"/>
      <c r="Y36" s="82" t="str">
        <f>'HKL263'!B10</f>
        <v>01.10.2019</v>
      </c>
    </row>
    <row r="37" spans="1:26" s="40" customFormat="1" ht="39.950000000000003" customHeight="1" x14ac:dyDescent="0.25">
      <c r="A37" s="49">
        <v>4</v>
      </c>
      <c r="B37" s="50" t="s">
        <v>43</v>
      </c>
      <c r="C37" s="56" t="str">
        <f t="shared" ref="C37:C40" si="80">C36</f>
        <v>HDKOTE/1714</v>
      </c>
      <c r="D37" s="51" t="s">
        <v>148</v>
      </c>
      <c r="E37" s="55" t="str">
        <f t="shared" ref="E37:E40" si="81">E36</f>
        <v>HKL263</v>
      </c>
      <c r="F37" s="50">
        <f t="shared" ref="F37:F40" si="82">F36</f>
        <v>0.64</v>
      </c>
      <c r="G37" s="49" t="s">
        <v>221</v>
      </c>
      <c r="H37" s="64" t="s">
        <v>222</v>
      </c>
      <c r="I37" s="49">
        <f t="shared" ref="I37:I40" si="83">I36</f>
        <v>3</v>
      </c>
      <c r="J37" s="49" t="str">
        <f t="shared" ref="J37:J40" si="84">J36</f>
        <v>LT 3</v>
      </c>
      <c r="K37" s="84">
        <f>'HKL263'!Q11</f>
        <v>2209.6</v>
      </c>
      <c r="L37" s="87">
        <f>'HKL263'!P11</f>
        <v>2428.1</v>
      </c>
      <c r="M37" s="87">
        <f>'[1]April-18'!M13</f>
        <v>1</v>
      </c>
      <c r="N37" s="84">
        <f t="shared" ref="N37:N38" si="85">(L37-K37)*M37</f>
        <v>218.5</v>
      </c>
      <c r="O37" s="84">
        <f>'HKL263'!F11</f>
        <v>402</v>
      </c>
      <c r="P37" s="87">
        <f>'HKL263'!E11</f>
        <v>529.6</v>
      </c>
      <c r="Q37" s="84">
        <f t="shared" ref="Q37:Q40" si="86">Q36</f>
        <v>1</v>
      </c>
      <c r="R37" s="84">
        <f t="shared" ref="R37:R38" si="87">(P37-O37)*Q37</f>
        <v>127.60000000000002</v>
      </c>
      <c r="S37" s="84">
        <f>'HKL263'!K11</f>
        <v>417</v>
      </c>
      <c r="T37" s="87">
        <f>'HKL263'!J11</f>
        <v>505.8</v>
      </c>
      <c r="U37" s="84">
        <f>'[1]April-18'!U13</f>
        <v>1</v>
      </c>
      <c r="V37" s="84">
        <f t="shared" ref="V37:V38" si="88">(T37-S37)*U37</f>
        <v>88.800000000000011</v>
      </c>
      <c r="W37" s="85">
        <f t="shared" si="18"/>
        <v>2.4277777777777776</v>
      </c>
      <c r="X37" s="84"/>
      <c r="Y37" s="82" t="str">
        <f>'HKL263'!B11</f>
        <v>01.11.2019</v>
      </c>
    </row>
    <row r="38" spans="1:26" s="40" customFormat="1" ht="39.950000000000003" customHeight="1" x14ac:dyDescent="0.25">
      <c r="A38" s="49">
        <v>5</v>
      </c>
      <c r="B38" s="50" t="s">
        <v>43</v>
      </c>
      <c r="C38" s="56" t="str">
        <f t="shared" si="80"/>
        <v>HDKOTE/1714</v>
      </c>
      <c r="D38" s="51" t="s">
        <v>148</v>
      </c>
      <c r="E38" s="55" t="str">
        <f t="shared" si="81"/>
        <v>HKL263</v>
      </c>
      <c r="F38" s="50">
        <f t="shared" si="82"/>
        <v>0.64</v>
      </c>
      <c r="G38" s="49" t="s">
        <v>221</v>
      </c>
      <c r="H38" s="64" t="s">
        <v>222</v>
      </c>
      <c r="I38" s="49">
        <f t="shared" si="83"/>
        <v>3</v>
      </c>
      <c r="J38" s="49" t="str">
        <f t="shared" si="84"/>
        <v>LT 3</v>
      </c>
      <c r="K38" s="84">
        <f>'HKL263'!Q12</f>
        <v>2428.1</v>
      </c>
      <c r="L38" s="87">
        <f>'HKL263'!P12</f>
        <v>2648</v>
      </c>
      <c r="M38" s="87">
        <f>'[1]April-18'!M14</f>
        <v>1</v>
      </c>
      <c r="N38" s="84">
        <f t="shared" si="85"/>
        <v>219.90000000000009</v>
      </c>
      <c r="O38" s="84">
        <f>'HKL263'!F12</f>
        <v>529.6</v>
      </c>
      <c r="P38" s="87">
        <f>'HKL263'!E12</f>
        <v>647.29999999999995</v>
      </c>
      <c r="Q38" s="84">
        <f t="shared" si="86"/>
        <v>1</v>
      </c>
      <c r="R38" s="84">
        <f t="shared" si="87"/>
        <v>117.69999999999993</v>
      </c>
      <c r="S38" s="84">
        <f>'HKL263'!K12</f>
        <v>505.8</v>
      </c>
      <c r="T38" s="87">
        <f>'HKL263'!J12</f>
        <v>705.8</v>
      </c>
      <c r="U38" s="84">
        <f>'[1]April-18'!U14</f>
        <v>1</v>
      </c>
      <c r="V38" s="84">
        <f t="shared" si="88"/>
        <v>199.99999999999994</v>
      </c>
      <c r="W38" s="85">
        <f t="shared" si="18"/>
        <v>2.4433333333333342</v>
      </c>
      <c r="X38" s="84"/>
      <c r="Y38" s="82" t="str">
        <f>'HKL263'!B12</f>
        <v>01.12.2019</v>
      </c>
    </row>
    <row r="39" spans="1:26" s="40" customFormat="1" ht="39.950000000000003" customHeight="1" x14ac:dyDescent="0.25">
      <c r="A39" s="49">
        <v>6</v>
      </c>
      <c r="B39" s="50" t="s">
        <v>43</v>
      </c>
      <c r="C39" s="56" t="str">
        <f t="shared" si="80"/>
        <v>HDKOTE/1714</v>
      </c>
      <c r="D39" s="51" t="s">
        <v>148</v>
      </c>
      <c r="E39" s="55" t="str">
        <f t="shared" si="81"/>
        <v>HKL263</v>
      </c>
      <c r="F39" s="50">
        <f t="shared" si="82"/>
        <v>0.64</v>
      </c>
      <c r="G39" s="49" t="s">
        <v>221</v>
      </c>
      <c r="H39" s="64" t="s">
        <v>222</v>
      </c>
      <c r="I39" s="49">
        <f t="shared" si="83"/>
        <v>3</v>
      </c>
      <c r="J39" s="49" t="str">
        <f t="shared" si="84"/>
        <v>LT 3</v>
      </c>
      <c r="K39" s="84">
        <f>'HKL263'!Q13</f>
        <v>2648</v>
      </c>
      <c r="L39" s="87">
        <f>'HKL263'!P13</f>
        <v>2834</v>
      </c>
      <c r="M39" s="87">
        <f>'[1]April-18'!M15</f>
        <v>1</v>
      </c>
      <c r="N39" s="84">
        <f t="shared" ref="N39:N40" si="89">(L39-K39)*M39</f>
        <v>186</v>
      </c>
      <c r="O39" s="84">
        <f>'HKL263'!F13</f>
        <v>647.29999999999995</v>
      </c>
      <c r="P39" s="87">
        <f>'HKL263'!E13</f>
        <v>766</v>
      </c>
      <c r="Q39" s="84">
        <f t="shared" si="86"/>
        <v>1</v>
      </c>
      <c r="R39" s="84">
        <f t="shared" ref="R39:R40" si="90">(P39-O39)*Q39</f>
        <v>118.70000000000005</v>
      </c>
      <c r="S39" s="84">
        <f>'HKL263'!K13</f>
        <v>705.8</v>
      </c>
      <c r="T39" s="87">
        <f>'HKL263'!J13</f>
        <v>814</v>
      </c>
      <c r="U39" s="84">
        <f>'[1]April-18'!U15</f>
        <v>1</v>
      </c>
      <c r="V39" s="84">
        <f t="shared" ref="V39:V40" si="91">(T39-S39)*U39</f>
        <v>108.20000000000005</v>
      </c>
      <c r="W39" s="85">
        <f t="shared" ref="W39:W40" si="92">N39/30/I39</f>
        <v>2.0666666666666669</v>
      </c>
      <c r="X39" s="84"/>
      <c r="Y39" s="82" t="str">
        <f>'HKL263'!B13</f>
        <v>01.01.2020</v>
      </c>
    </row>
    <row r="40" spans="1:26" s="40" customFormat="1" ht="39.950000000000003" customHeight="1" x14ac:dyDescent="0.25">
      <c r="A40" s="49">
        <v>7</v>
      </c>
      <c r="B40" s="50" t="s">
        <v>43</v>
      </c>
      <c r="C40" s="56" t="str">
        <f t="shared" si="80"/>
        <v>HDKOTE/1714</v>
      </c>
      <c r="D40" s="51" t="s">
        <v>148</v>
      </c>
      <c r="E40" s="55" t="str">
        <f t="shared" si="81"/>
        <v>HKL263</v>
      </c>
      <c r="F40" s="50">
        <f t="shared" si="82"/>
        <v>0.64</v>
      </c>
      <c r="G40" s="49" t="s">
        <v>221</v>
      </c>
      <c r="H40" s="64" t="s">
        <v>222</v>
      </c>
      <c r="I40" s="49">
        <f t="shared" si="83"/>
        <v>3</v>
      </c>
      <c r="J40" s="49" t="str">
        <f t="shared" si="84"/>
        <v>LT 3</v>
      </c>
      <c r="K40" s="84">
        <f>'HKL263'!Q14</f>
        <v>2834</v>
      </c>
      <c r="L40" s="87">
        <f>'HKL263'!P14</f>
        <v>3088.4</v>
      </c>
      <c r="M40" s="87">
        <f>'[1]April-18'!M16</f>
        <v>1</v>
      </c>
      <c r="N40" s="84">
        <f t="shared" si="89"/>
        <v>254.40000000000009</v>
      </c>
      <c r="O40" s="84">
        <f>'HKL263'!F14</f>
        <v>766</v>
      </c>
      <c r="P40" s="87">
        <f>'HKL263'!E14</f>
        <v>802</v>
      </c>
      <c r="Q40" s="84">
        <f t="shared" si="86"/>
        <v>1</v>
      </c>
      <c r="R40" s="84">
        <f t="shared" si="90"/>
        <v>36</v>
      </c>
      <c r="S40" s="84">
        <f>'HKL263'!K14</f>
        <v>814</v>
      </c>
      <c r="T40" s="87">
        <f>'HKL263'!J14</f>
        <v>928</v>
      </c>
      <c r="U40" s="84">
        <f>'[1]April-18'!U16</f>
        <v>1</v>
      </c>
      <c r="V40" s="84">
        <f t="shared" si="91"/>
        <v>114</v>
      </c>
      <c r="W40" s="85">
        <f t="shared" si="92"/>
        <v>2.8266666666666675</v>
      </c>
      <c r="X40" s="84"/>
      <c r="Y40" s="82" t="s">
        <v>253</v>
      </c>
    </row>
    <row r="41" spans="1:26" s="40" customFormat="1" ht="39.950000000000003" customHeight="1" x14ac:dyDescent="0.25">
      <c r="A41" s="49">
        <v>1</v>
      </c>
      <c r="B41" s="50" t="s">
        <v>43</v>
      </c>
      <c r="C41" s="56" t="s">
        <v>229</v>
      </c>
      <c r="D41" s="51" t="s">
        <v>155</v>
      </c>
      <c r="E41" s="55" t="s">
        <v>153</v>
      </c>
      <c r="F41" s="50">
        <v>0.72</v>
      </c>
      <c r="G41" s="49" t="s">
        <v>221</v>
      </c>
      <c r="H41" s="64" t="s">
        <v>222</v>
      </c>
      <c r="I41" s="49">
        <v>3</v>
      </c>
      <c r="J41" s="49" t="s">
        <v>224</v>
      </c>
      <c r="K41" s="84">
        <f>'HKL351'!Q8</f>
        <v>2341.9</v>
      </c>
      <c r="L41" s="84">
        <v>2640</v>
      </c>
      <c r="M41" s="84">
        <f>'[1]April-18'!M11</f>
        <v>1</v>
      </c>
      <c r="N41" s="84">
        <f t="shared" si="0"/>
        <v>298.09999999999991</v>
      </c>
      <c r="O41" s="84">
        <f>'HKL351'!F8</f>
        <v>133.80000000000001</v>
      </c>
      <c r="P41" s="84">
        <f>'HKL351'!E8</f>
        <v>296.5</v>
      </c>
      <c r="Q41" s="84">
        <v>1</v>
      </c>
      <c r="R41" s="84">
        <f t="shared" si="16"/>
        <v>162.69999999999999</v>
      </c>
      <c r="S41" s="84">
        <f>'HKL351'!K8</f>
        <v>105.2</v>
      </c>
      <c r="T41" s="84">
        <f>'HKL351'!J8</f>
        <v>208.2</v>
      </c>
      <c r="U41" s="84">
        <f>'[1]April-18'!U11</f>
        <v>1</v>
      </c>
      <c r="V41" s="84">
        <f t="shared" si="17"/>
        <v>102.99999999999999</v>
      </c>
      <c r="W41" s="85">
        <f t="shared" si="18"/>
        <v>3.3122222222222213</v>
      </c>
      <c r="X41" s="84"/>
      <c r="Y41" s="82" t="str">
        <f>'HKL351'!B8</f>
        <v>01.08.2019</v>
      </c>
    </row>
    <row r="42" spans="1:26" s="40" customFormat="1" ht="39.950000000000003" customHeight="1" x14ac:dyDescent="0.25">
      <c r="A42" s="49">
        <v>2</v>
      </c>
      <c r="B42" s="50" t="s">
        <v>43</v>
      </c>
      <c r="C42" s="56" t="str">
        <f>C41</f>
        <v>HDKOTE/1714</v>
      </c>
      <c r="D42" s="51" t="s">
        <v>155</v>
      </c>
      <c r="E42" s="55" t="str">
        <f>E41</f>
        <v>HKL351</v>
      </c>
      <c r="F42" s="50">
        <f>F41</f>
        <v>0.72</v>
      </c>
      <c r="G42" s="49" t="s">
        <v>221</v>
      </c>
      <c r="H42" s="64" t="s">
        <v>222</v>
      </c>
      <c r="I42" s="49">
        <f>I41</f>
        <v>3</v>
      </c>
      <c r="J42" s="49" t="str">
        <f>J41</f>
        <v>LT 3</v>
      </c>
      <c r="K42" s="84">
        <f>'HKL351'!Q9</f>
        <v>2549</v>
      </c>
      <c r="L42" s="84">
        <f>'HKL351'!P9</f>
        <v>2731</v>
      </c>
      <c r="M42" s="84">
        <f>'[1]April-18'!M12</f>
        <v>1</v>
      </c>
      <c r="N42" s="84">
        <f t="shared" ref="N42" si="93">(L42-K42)*M42</f>
        <v>182</v>
      </c>
      <c r="O42" s="84">
        <f>'HKL351'!F9</f>
        <v>296.5</v>
      </c>
      <c r="P42" s="84">
        <f>'HKL351'!E9</f>
        <v>467</v>
      </c>
      <c r="Q42" s="84">
        <f>Q41</f>
        <v>1</v>
      </c>
      <c r="R42" s="84">
        <f t="shared" ref="R42" si="94">(P42-O42)*Q42</f>
        <v>170.5</v>
      </c>
      <c r="S42" s="84">
        <f>'HKL351'!K9</f>
        <v>208.2</v>
      </c>
      <c r="T42" s="84">
        <f>'HKL351'!J9</f>
        <v>292</v>
      </c>
      <c r="U42" s="84">
        <f>'[1]April-18'!U12</f>
        <v>1</v>
      </c>
      <c r="V42" s="84">
        <f t="shared" ref="V42" si="95">(T42-S42)*U42</f>
        <v>83.800000000000011</v>
      </c>
      <c r="W42" s="85">
        <f t="shared" si="18"/>
        <v>2.0222222222222221</v>
      </c>
      <c r="X42" s="84"/>
      <c r="Y42" s="82" t="str">
        <f>'HKL351'!B9</f>
        <v>01.09.2019</v>
      </c>
    </row>
    <row r="43" spans="1:26" s="40" customFormat="1" ht="39.950000000000003" customHeight="1" x14ac:dyDescent="0.25">
      <c r="A43" s="49">
        <v>3</v>
      </c>
      <c r="B43" s="50" t="s">
        <v>43</v>
      </c>
      <c r="C43" s="56" t="str">
        <f>C42</f>
        <v>HDKOTE/1714</v>
      </c>
      <c r="D43" s="51" t="s">
        <v>155</v>
      </c>
      <c r="E43" s="55" t="str">
        <f>E42</f>
        <v>HKL351</v>
      </c>
      <c r="F43" s="50">
        <f>F42</f>
        <v>0.72</v>
      </c>
      <c r="G43" s="49" t="s">
        <v>221</v>
      </c>
      <c r="H43" s="64" t="s">
        <v>222</v>
      </c>
      <c r="I43" s="49">
        <f>I42</f>
        <v>3</v>
      </c>
      <c r="J43" s="49" t="str">
        <f>J42</f>
        <v>LT 3</v>
      </c>
      <c r="K43" s="84">
        <f>'HKL351'!Q10</f>
        <v>2731</v>
      </c>
      <c r="L43" s="84">
        <f>'HKL351'!P10</f>
        <v>2957.3</v>
      </c>
      <c r="M43" s="84">
        <f>'[1]April-18'!M13</f>
        <v>1</v>
      </c>
      <c r="N43" s="84">
        <f t="shared" ref="N43" si="96">(L43-K43)*M43</f>
        <v>226.30000000000018</v>
      </c>
      <c r="O43" s="84">
        <f>'HKL351'!F10</f>
        <v>467</v>
      </c>
      <c r="P43" s="84">
        <f>'HKL351'!E10</f>
        <v>633.1</v>
      </c>
      <c r="Q43" s="84">
        <f>Q42</f>
        <v>1</v>
      </c>
      <c r="R43" s="84">
        <f t="shared" ref="R43" si="97">(P43-O43)*Q43</f>
        <v>166.10000000000002</v>
      </c>
      <c r="S43" s="84">
        <f>'HKL351'!K10</f>
        <v>292</v>
      </c>
      <c r="T43" s="84">
        <f>'HKL351'!J10</f>
        <v>403</v>
      </c>
      <c r="U43" s="84">
        <f>'[1]April-18'!U13</f>
        <v>1</v>
      </c>
      <c r="V43" s="84">
        <f t="shared" ref="V43" si="98">(T43-S43)*U43</f>
        <v>111</v>
      </c>
      <c r="W43" s="85">
        <f t="shared" si="18"/>
        <v>2.5144444444444463</v>
      </c>
      <c r="X43" s="84"/>
      <c r="Y43" s="82" t="str">
        <f>'HKL351'!B10</f>
        <v>01.10.2019</v>
      </c>
    </row>
    <row r="44" spans="1:26" s="40" customFormat="1" ht="39.950000000000003" customHeight="1" x14ac:dyDescent="0.25">
      <c r="A44" s="49">
        <v>4</v>
      </c>
      <c r="B44" s="50" t="s">
        <v>43</v>
      </c>
      <c r="C44" s="56" t="str">
        <f t="shared" ref="C44:C47" si="99">C43</f>
        <v>HDKOTE/1714</v>
      </c>
      <c r="D44" s="51" t="s">
        <v>155</v>
      </c>
      <c r="E44" s="55" t="str">
        <f t="shared" ref="E44:E47" si="100">E43</f>
        <v>HKL351</v>
      </c>
      <c r="F44" s="50">
        <f t="shared" ref="F44:F47" si="101">F43</f>
        <v>0.72</v>
      </c>
      <c r="G44" s="49" t="s">
        <v>221</v>
      </c>
      <c r="H44" s="64" t="s">
        <v>222</v>
      </c>
      <c r="I44" s="49">
        <f t="shared" ref="I44:I47" si="102">I43</f>
        <v>3</v>
      </c>
      <c r="J44" s="49" t="str">
        <f t="shared" ref="J44:J47" si="103">J43</f>
        <v>LT 3</v>
      </c>
      <c r="K44" s="84">
        <f>'HKL351'!Q11</f>
        <v>2957.3</v>
      </c>
      <c r="L44" s="84">
        <f>'HKL351'!P11</f>
        <v>3146.9</v>
      </c>
      <c r="M44" s="84">
        <f>'[1]April-18'!M14</f>
        <v>1</v>
      </c>
      <c r="N44" s="84">
        <f t="shared" ref="N44:N45" si="104">(L44-K44)*M44</f>
        <v>189.59999999999991</v>
      </c>
      <c r="O44" s="84">
        <f>'HKL351'!F11</f>
        <v>633.1</v>
      </c>
      <c r="P44" s="84">
        <f>'HKL351'!E11</f>
        <v>804.4</v>
      </c>
      <c r="Q44" s="84">
        <f t="shared" ref="Q44:Q47" si="105">Q43</f>
        <v>1</v>
      </c>
      <c r="R44" s="84">
        <f t="shared" ref="R44:R45" si="106">(P44-O44)*Q44</f>
        <v>171.29999999999995</v>
      </c>
      <c r="S44" s="84">
        <f>'HKL351'!K11</f>
        <v>403</v>
      </c>
      <c r="T44" s="84">
        <f>'HKL351'!J11</f>
        <v>514.79999999999995</v>
      </c>
      <c r="U44" s="84">
        <f>'[1]April-18'!U14</f>
        <v>1</v>
      </c>
      <c r="V44" s="84">
        <f t="shared" ref="V44:V45" si="107">(T44-S44)*U44</f>
        <v>111.79999999999995</v>
      </c>
      <c r="W44" s="85">
        <f t="shared" si="18"/>
        <v>2.1066666666666656</v>
      </c>
      <c r="X44" s="84"/>
      <c r="Y44" s="82" t="str">
        <f>'HKL351'!B11</f>
        <v>01.11.2019</v>
      </c>
    </row>
    <row r="45" spans="1:26" s="40" customFormat="1" ht="39.950000000000003" customHeight="1" x14ac:dyDescent="0.25">
      <c r="A45" s="49">
        <v>5</v>
      </c>
      <c r="B45" s="50" t="s">
        <v>43</v>
      </c>
      <c r="C45" s="56" t="str">
        <f t="shared" si="99"/>
        <v>HDKOTE/1714</v>
      </c>
      <c r="D45" s="51" t="s">
        <v>155</v>
      </c>
      <c r="E45" s="55" t="str">
        <f t="shared" si="100"/>
        <v>HKL351</v>
      </c>
      <c r="F45" s="50">
        <f t="shared" si="101"/>
        <v>0.72</v>
      </c>
      <c r="G45" s="49" t="s">
        <v>221</v>
      </c>
      <c r="H45" s="64" t="s">
        <v>222</v>
      </c>
      <c r="I45" s="49">
        <f t="shared" si="102"/>
        <v>3</v>
      </c>
      <c r="J45" s="49" t="str">
        <f t="shared" si="103"/>
        <v>LT 3</v>
      </c>
      <c r="K45" s="84">
        <f>'HKL351'!Q12</f>
        <v>3146.9</v>
      </c>
      <c r="L45" s="84">
        <f>'HKL351'!P12</f>
        <v>3364.9</v>
      </c>
      <c r="M45" s="84">
        <f>'[1]April-18'!M15</f>
        <v>1</v>
      </c>
      <c r="N45" s="84">
        <f t="shared" si="104"/>
        <v>218</v>
      </c>
      <c r="O45" s="84">
        <f>'HKL351'!F12</f>
        <v>804.4</v>
      </c>
      <c r="P45" s="84">
        <f>'HKL351'!E12</f>
        <v>974.5</v>
      </c>
      <c r="Q45" s="84">
        <f t="shared" si="105"/>
        <v>1</v>
      </c>
      <c r="R45" s="84">
        <f t="shared" si="106"/>
        <v>170.10000000000002</v>
      </c>
      <c r="S45" s="84">
        <f>'HKL351'!K12</f>
        <v>514.79999999999995</v>
      </c>
      <c r="T45" s="84">
        <f>'HKL351'!J12</f>
        <v>624.5</v>
      </c>
      <c r="U45" s="84">
        <f>'[1]April-18'!U15</f>
        <v>1</v>
      </c>
      <c r="V45" s="84">
        <f t="shared" si="107"/>
        <v>109.70000000000005</v>
      </c>
      <c r="W45" s="85">
        <f t="shared" si="18"/>
        <v>2.4222222222222221</v>
      </c>
      <c r="X45" s="84"/>
      <c r="Y45" s="82" t="str">
        <f>'HKL351'!B12</f>
        <v>01.12.2019</v>
      </c>
    </row>
    <row r="46" spans="1:26" s="40" customFormat="1" ht="39.950000000000003" customHeight="1" x14ac:dyDescent="0.25">
      <c r="A46" s="49">
        <v>6</v>
      </c>
      <c r="B46" s="50" t="s">
        <v>43</v>
      </c>
      <c r="C46" s="56" t="str">
        <f t="shared" si="99"/>
        <v>HDKOTE/1714</v>
      </c>
      <c r="D46" s="51" t="s">
        <v>155</v>
      </c>
      <c r="E46" s="55" t="str">
        <f t="shared" si="100"/>
        <v>HKL351</v>
      </c>
      <c r="F46" s="50">
        <f t="shared" si="101"/>
        <v>0.72</v>
      </c>
      <c r="G46" s="49" t="s">
        <v>221</v>
      </c>
      <c r="H46" s="64" t="s">
        <v>222</v>
      </c>
      <c r="I46" s="49">
        <f t="shared" si="102"/>
        <v>3</v>
      </c>
      <c r="J46" s="49" t="str">
        <f t="shared" si="103"/>
        <v>LT 3</v>
      </c>
      <c r="K46" s="84">
        <f>'HKL351'!Q13</f>
        <v>3364.9</v>
      </c>
      <c r="L46" s="84">
        <f>'HKL351'!P13</f>
        <v>3544</v>
      </c>
      <c r="M46" s="84">
        <f>'[1]April-18'!M16</f>
        <v>1</v>
      </c>
      <c r="N46" s="84">
        <f t="shared" ref="N46:N47" si="108">(L46-K46)*M46</f>
        <v>179.09999999999991</v>
      </c>
      <c r="O46" s="84">
        <f>'HKL351'!F13</f>
        <v>974.5</v>
      </c>
      <c r="P46" s="84">
        <f>'HKL351'!E13</f>
        <v>1138</v>
      </c>
      <c r="Q46" s="84">
        <f t="shared" si="105"/>
        <v>1</v>
      </c>
      <c r="R46" s="84">
        <f t="shared" ref="R46:R47" si="109">(P46-O46)*Q46</f>
        <v>163.5</v>
      </c>
      <c r="S46" s="84">
        <f>'HKL351'!K13</f>
        <v>624.5</v>
      </c>
      <c r="T46" s="84">
        <f>'HKL351'!J13</f>
        <v>724</v>
      </c>
      <c r="U46" s="84">
        <f>'[1]April-18'!U16</f>
        <v>1</v>
      </c>
      <c r="V46" s="84">
        <f t="shared" ref="V46:V47" si="110">(T46-S46)*U46</f>
        <v>99.5</v>
      </c>
      <c r="W46" s="85">
        <f t="shared" ref="W46:W47" si="111">N46/30/I46</f>
        <v>1.9899999999999991</v>
      </c>
      <c r="X46" s="84"/>
      <c r="Y46" s="82" t="str">
        <f>'HKL351'!B13</f>
        <v>01.01.2020</v>
      </c>
    </row>
    <row r="47" spans="1:26" s="40" customFormat="1" ht="39.950000000000003" customHeight="1" x14ac:dyDescent="0.25">
      <c r="A47" s="49">
        <v>7</v>
      </c>
      <c r="B47" s="50" t="s">
        <v>43</v>
      </c>
      <c r="C47" s="56" t="str">
        <f t="shared" si="99"/>
        <v>HDKOTE/1714</v>
      </c>
      <c r="D47" s="51" t="s">
        <v>155</v>
      </c>
      <c r="E47" s="55" t="str">
        <f t="shared" si="100"/>
        <v>HKL351</v>
      </c>
      <c r="F47" s="50">
        <f t="shared" si="101"/>
        <v>0.72</v>
      </c>
      <c r="G47" s="49" t="s">
        <v>221</v>
      </c>
      <c r="H47" s="64" t="s">
        <v>222</v>
      </c>
      <c r="I47" s="49">
        <f t="shared" si="102"/>
        <v>3</v>
      </c>
      <c r="J47" s="49" t="str">
        <f t="shared" si="103"/>
        <v>LT 3</v>
      </c>
      <c r="K47" s="84">
        <f>'HKL351'!Q14</f>
        <v>3544</v>
      </c>
      <c r="L47" s="84">
        <f>'HKL351'!P14</f>
        <v>3805</v>
      </c>
      <c r="M47" s="84">
        <f>'[1]April-18'!M17</f>
        <v>1</v>
      </c>
      <c r="N47" s="84">
        <f t="shared" si="108"/>
        <v>261</v>
      </c>
      <c r="O47" s="84">
        <f>'HKL351'!F14</f>
        <v>1138</v>
      </c>
      <c r="P47" s="84">
        <f>'HKL351'!E14</f>
        <v>1308</v>
      </c>
      <c r="Q47" s="84">
        <f t="shared" si="105"/>
        <v>1</v>
      </c>
      <c r="R47" s="84">
        <f t="shared" si="109"/>
        <v>170</v>
      </c>
      <c r="S47" s="84">
        <f>'HKL351'!K14</f>
        <v>724</v>
      </c>
      <c r="T47" s="84">
        <f>'HKL351'!J14</f>
        <v>859</v>
      </c>
      <c r="U47" s="84">
        <f>'[1]April-18'!U17</f>
        <v>1</v>
      </c>
      <c r="V47" s="84">
        <f t="shared" si="110"/>
        <v>135</v>
      </c>
      <c r="W47" s="85">
        <f t="shared" si="111"/>
        <v>2.9</v>
      </c>
      <c r="X47" s="84"/>
      <c r="Y47" s="82" t="s">
        <v>253</v>
      </c>
    </row>
    <row r="48" spans="1:26" s="40" customFormat="1" ht="39.950000000000003" customHeight="1" x14ac:dyDescent="0.25">
      <c r="A48" s="49">
        <v>1</v>
      </c>
      <c r="B48" s="50" t="s">
        <v>43</v>
      </c>
      <c r="C48" s="56" t="s">
        <v>229</v>
      </c>
      <c r="D48" s="51" t="s">
        <v>200</v>
      </c>
      <c r="E48" s="55" t="s">
        <v>157</v>
      </c>
      <c r="F48" s="50">
        <v>0.24</v>
      </c>
      <c r="G48" s="49" t="s">
        <v>221</v>
      </c>
      <c r="H48" s="64" t="s">
        <v>222</v>
      </c>
      <c r="I48" s="49">
        <v>3</v>
      </c>
      <c r="J48" s="49" t="s">
        <v>223</v>
      </c>
      <c r="K48" s="84">
        <f>'HKL373'!Q8</f>
        <v>0</v>
      </c>
      <c r="L48" s="84">
        <f>'HKL373'!P8</f>
        <v>0</v>
      </c>
      <c r="M48" s="84">
        <f>'HKL373'!S8</f>
        <v>1</v>
      </c>
      <c r="N48" s="84">
        <f>'HKL373'!T8</f>
        <v>0</v>
      </c>
      <c r="O48" s="84">
        <f>'HKL373'!F8</f>
        <v>8.6999999999999993</v>
      </c>
      <c r="P48" s="84">
        <f>'HKL373'!E8</f>
        <v>21.4</v>
      </c>
      <c r="Q48" s="84">
        <v>1</v>
      </c>
      <c r="R48" s="84">
        <f t="shared" si="16"/>
        <v>12.7</v>
      </c>
      <c r="S48" s="84">
        <f>'HKL373'!K8</f>
        <v>146.4</v>
      </c>
      <c r="T48" s="84">
        <f>'HKL373'!J8</f>
        <v>380.1</v>
      </c>
      <c r="U48" s="84">
        <f>'[1]April-18'!U12</f>
        <v>1</v>
      </c>
      <c r="V48" s="84">
        <f t="shared" si="17"/>
        <v>233.70000000000002</v>
      </c>
      <c r="W48" s="85">
        <f t="shared" si="18"/>
        <v>0</v>
      </c>
      <c r="X48" s="84"/>
      <c r="Y48" s="82" t="str">
        <f>'HKL373'!B8</f>
        <v>01.08.2019</v>
      </c>
    </row>
    <row r="49" spans="1:25" s="40" customFormat="1" ht="39.950000000000003" customHeight="1" x14ac:dyDescent="0.25">
      <c r="A49" s="49">
        <v>2</v>
      </c>
      <c r="B49" s="50" t="s">
        <v>43</v>
      </c>
      <c r="C49" s="56" t="str">
        <f>C48</f>
        <v>HDKOTE/1714</v>
      </c>
      <c r="D49" s="51" t="s">
        <v>200</v>
      </c>
      <c r="E49" s="55" t="str">
        <f>E48</f>
        <v>HKL373</v>
      </c>
      <c r="F49" s="50">
        <f>F48</f>
        <v>0.24</v>
      </c>
      <c r="G49" s="49" t="s">
        <v>221</v>
      </c>
      <c r="H49" s="64" t="s">
        <v>222</v>
      </c>
      <c r="I49" s="49">
        <f>I48</f>
        <v>3</v>
      </c>
      <c r="J49" s="49" t="str">
        <f>J48</f>
        <v>LT 2</v>
      </c>
      <c r="K49" s="84">
        <f>'HKL373'!Q9</f>
        <v>0</v>
      </c>
      <c r="L49" s="84">
        <f>'HKL373'!P9</f>
        <v>240.7</v>
      </c>
      <c r="M49" s="84">
        <f>'HKL373'!S9</f>
        <v>1</v>
      </c>
      <c r="N49" s="84">
        <f>'HKL373'!T9</f>
        <v>240.7</v>
      </c>
      <c r="O49" s="84">
        <f>'HKL373'!F9</f>
        <v>21.4</v>
      </c>
      <c r="P49" s="84">
        <f>'HKL373'!E9</f>
        <v>34.299999999999997</v>
      </c>
      <c r="Q49" s="84">
        <f>Q48</f>
        <v>1</v>
      </c>
      <c r="R49" s="84">
        <f t="shared" ref="R49" si="112">(P49-O49)*Q49</f>
        <v>12.899999999999999</v>
      </c>
      <c r="S49" s="84">
        <f>'HKL373'!K9</f>
        <v>380.1</v>
      </c>
      <c r="T49" s="84">
        <f>'HKL373'!J9</f>
        <v>586.6</v>
      </c>
      <c r="U49" s="84">
        <f>'[1]April-18'!U13</f>
        <v>1</v>
      </c>
      <c r="V49" s="84">
        <f t="shared" ref="V49" si="113">(T49-S49)*U49</f>
        <v>206.5</v>
      </c>
      <c r="W49" s="85">
        <f t="shared" si="18"/>
        <v>2.6744444444444446</v>
      </c>
      <c r="X49" s="84"/>
      <c r="Y49" s="82" t="str">
        <f>'HKL373'!B9</f>
        <v>01.09.2019</v>
      </c>
    </row>
    <row r="50" spans="1:25" s="40" customFormat="1" ht="39.950000000000003" customHeight="1" x14ac:dyDescent="0.25">
      <c r="A50" s="49">
        <v>3</v>
      </c>
      <c r="B50" s="50" t="s">
        <v>43</v>
      </c>
      <c r="C50" s="56" t="str">
        <f>C49</f>
        <v>HDKOTE/1714</v>
      </c>
      <c r="D50" s="51" t="s">
        <v>200</v>
      </c>
      <c r="E50" s="55" t="str">
        <f>E49</f>
        <v>HKL373</v>
      </c>
      <c r="F50" s="50">
        <f>F49</f>
        <v>0.24</v>
      </c>
      <c r="G50" s="49" t="s">
        <v>221</v>
      </c>
      <c r="H50" s="64" t="s">
        <v>222</v>
      </c>
      <c r="I50" s="49">
        <f>I49</f>
        <v>3</v>
      </c>
      <c r="J50" s="49" t="str">
        <f>J49</f>
        <v>LT 2</v>
      </c>
      <c r="K50" s="84">
        <f>'HKL373'!Q10</f>
        <v>240.7</v>
      </c>
      <c r="L50" s="84">
        <f>'HKL373'!P10</f>
        <v>461.7</v>
      </c>
      <c r="M50" s="84">
        <f>'HKL373'!S10</f>
        <v>1</v>
      </c>
      <c r="N50" s="84">
        <f>'HKL373'!T10</f>
        <v>221</v>
      </c>
      <c r="O50" s="84">
        <f>'HKL373'!F10</f>
        <v>34.299999999999997</v>
      </c>
      <c r="P50" s="84">
        <f>'HKL373'!E10</f>
        <v>44.4</v>
      </c>
      <c r="Q50" s="84">
        <f>Q49</f>
        <v>1</v>
      </c>
      <c r="R50" s="84">
        <f t="shared" ref="R50" si="114">(P50-O50)*Q50</f>
        <v>10.100000000000001</v>
      </c>
      <c r="S50" s="84">
        <f>'HKL373'!K10</f>
        <v>586.6</v>
      </c>
      <c r="T50" s="84">
        <f>'HKL373'!J10</f>
        <v>791.6</v>
      </c>
      <c r="U50" s="84">
        <f>'[1]April-18'!U14</f>
        <v>1</v>
      </c>
      <c r="V50" s="84">
        <f t="shared" ref="V50" si="115">(T50-S50)*U50</f>
        <v>205</v>
      </c>
      <c r="W50" s="85">
        <f t="shared" si="18"/>
        <v>2.4555555555555553</v>
      </c>
      <c r="X50" s="84"/>
      <c r="Y50" s="82" t="str">
        <f>'HKL373'!B10</f>
        <v>01.10.2019</v>
      </c>
    </row>
    <row r="51" spans="1:25" s="40" customFormat="1" ht="39.950000000000003" customHeight="1" x14ac:dyDescent="0.25">
      <c r="A51" s="49">
        <v>4</v>
      </c>
      <c r="B51" s="50" t="s">
        <v>43</v>
      </c>
      <c r="C51" s="56" t="str">
        <f t="shared" ref="C51:C54" si="116">C50</f>
        <v>HDKOTE/1714</v>
      </c>
      <c r="D51" s="51" t="s">
        <v>200</v>
      </c>
      <c r="E51" s="55" t="str">
        <f t="shared" ref="E51:E54" si="117">E50</f>
        <v>HKL373</v>
      </c>
      <c r="F51" s="50">
        <f t="shared" ref="F51:F54" si="118">F50</f>
        <v>0.24</v>
      </c>
      <c r="G51" s="49" t="s">
        <v>221</v>
      </c>
      <c r="H51" s="64" t="s">
        <v>222</v>
      </c>
      <c r="I51" s="49">
        <f t="shared" ref="I51:I54" si="119">I50</f>
        <v>3</v>
      </c>
      <c r="J51" s="49" t="str">
        <f t="shared" ref="J51:J54" si="120">J50</f>
        <v>LT 2</v>
      </c>
      <c r="K51" s="84">
        <f>'HKL373'!Q11</f>
        <v>461.7</v>
      </c>
      <c r="L51" s="84">
        <f>'HKL373'!P11</f>
        <v>680.7</v>
      </c>
      <c r="M51" s="84">
        <f>'HKL373'!S11</f>
        <v>1</v>
      </c>
      <c r="N51" s="84">
        <f>'HKL373'!T11</f>
        <v>219.00000000000006</v>
      </c>
      <c r="O51" s="84">
        <f>'HKL373'!F11</f>
        <v>44.4</v>
      </c>
      <c r="P51" s="84">
        <f>'HKL373'!E11</f>
        <v>55.4</v>
      </c>
      <c r="Q51" s="84">
        <f t="shared" ref="Q51:Q54" si="121">Q50</f>
        <v>1</v>
      </c>
      <c r="R51" s="84">
        <f t="shared" ref="R51:R52" si="122">(P51-O51)*Q51</f>
        <v>11</v>
      </c>
      <c r="S51" s="84">
        <f>'HKL373'!K11</f>
        <v>791.6</v>
      </c>
      <c r="T51" s="84">
        <f>'HKL373'!J11</f>
        <v>995.6</v>
      </c>
      <c r="U51" s="84">
        <f>'[1]April-18'!U15</f>
        <v>1</v>
      </c>
      <c r="V51" s="84">
        <f t="shared" ref="V51:V52" si="123">(T51-S51)*U51</f>
        <v>204</v>
      </c>
      <c r="W51" s="85">
        <f t="shared" si="18"/>
        <v>2.433333333333334</v>
      </c>
      <c r="X51" s="84"/>
      <c r="Y51" s="82" t="str">
        <f>'HKL373'!B11</f>
        <v>01.11.2019</v>
      </c>
    </row>
    <row r="52" spans="1:25" s="40" customFormat="1" ht="39.950000000000003" customHeight="1" x14ac:dyDescent="0.25">
      <c r="A52" s="49">
        <v>5</v>
      </c>
      <c r="B52" s="50" t="s">
        <v>43</v>
      </c>
      <c r="C52" s="56" t="str">
        <f t="shared" si="116"/>
        <v>HDKOTE/1714</v>
      </c>
      <c r="D52" s="51" t="s">
        <v>200</v>
      </c>
      <c r="E52" s="55" t="str">
        <f t="shared" si="117"/>
        <v>HKL373</v>
      </c>
      <c r="F52" s="50">
        <f t="shared" si="118"/>
        <v>0.24</v>
      </c>
      <c r="G52" s="49" t="s">
        <v>221</v>
      </c>
      <c r="H52" s="64" t="s">
        <v>222</v>
      </c>
      <c r="I52" s="49">
        <f t="shared" si="119"/>
        <v>3</v>
      </c>
      <c r="J52" s="49" t="str">
        <f t="shared" si="120"/>
        <v>LT 2</v>
      </c>
      <c r="K52" s="84">
        <f>'HKL373'!Q12</f>
        <v>680.7</v>
      </c>
      <c r="L52" s="84">
        <f>'HKL373'!P12</f>
        <v>940.6</v>
      </c>
      <c r="M52" s="84">
        <f>'HKL373'!S12</f>
        <v>1</v>
      </c>
      <c r="N52" s="84">
        <f>'HKL373'!T12</f>
        <v>259.89999999999998</v>
      </c>
      <c r="O52" s="84">
        <f>'HKL373'!F12</f>
        <v>55.4</v>
      </c>
      <c r="P52" s="84">
        <f>'HKL373'!E12</f>
        <v>75.599999999999994</v>
      </c>
      <c r="Q52" s="84">
        <f t="shared" si="121"/>
        <v>1</v>
      </c>
      <c r="R52" s="84">
        <f t="shared" si="122"/>
        <v>20.199999999999996</v>
      </c>
      <c r="S52" s="84">
        <f>'HKL373'!K12</f>
        <v>995.6</v>
      </c>
      <c r="T52" s="84">
        <f>'HKL373'!J12</f>
        <v>1224.7</v>
      </c>
      <c r="U52" s="84">
        <f>'[1]April-18'!U16</f>
        <v>1</v>
      </c>
      <c r="V52" s="84">
        <f t="shared" si="123"/>
        <v>229.10000000000002</v>
      </c>
      <c r="W52" s="85">
        <f t="shared" si="18"/>
        <v>2.8877777777777776</v>
      </c>
      <c r="X52" s="84"/>
      <c r="Y52" s="82" t="str">
        <f>'HKL373'!B12</f>
        <v>01.12.2019</v>
      </c>
    </row>
    <row r="53" spans="1:25" s="40" customFormat="1" ht="39.950000000000003" customHeight="1" x14ac:dyDescent="0.25">
      <c r="A53" s="49">
        <v>6</v>
      </c>
      <c r="B53" s="50" t="s">
        <v>43</v>
      </c>
      <c r="C53" s="56" t="str">
        <f t="shared" si="116"/>
        <v>HDKOTE/1714</v>
      </c>
      <c r="D53" s="51" t="s">
        <v>200</v>
      </c>
      <c r="E53" s="55" t="str">
        <f t="shared" si="117"/>
        <v>HKL373</v>
      </c>
      <c r="F53" s="50">
        <f t="shared" si="118"/>
        <v>0.24</v>
      </c>
      <c r="G53" s="49" t="s">
        <v>221</v>
      </c>
      <c r="H53" s="64" t="s">
        <v>222</v>
      </c>
      <c r="I53" s="49">
        <f t="shared" si="119"/>
        <v>3</v>
      </c>
      <c r="J53" s="49" t="str">
        <f t="shared" si="120"/>
        <v>LT 2</v>
      </c>
      <c r="K53" s="84">
        <f>'HKL373'!Q13</f>
        <v>940.6</v>
      </c>
      <c r="L53" s="84">
        <f>'HKL373'!P13</f>
        <v>1265</v>
      </c>
      <c r="M53" s="84">
        <f>'HKL373'!S13</f>
        <v>1</v>
      </c>
      <c r="N53" s="84">
        <f>'HKL373'!T13</f>
        <v>324.39999999999998</v>
      </c>
      <c r="O53" s="84">
        <f>'HKL373'!F13</f>
        <v>75.599999999999994</v>
      </c>
      <c r="P53" s="84">
        <f>'HKL373'!E13</f>
        <v>89.9</v>
      </c>
      <c r="Q53" s="84">
        <f t="shared" si="121"/>
        <v>1</v>
      </c>
      <c r="R53" s="84">
        <f t="shared" ref="R53:R54" si="124">(P53-O53)*Q53</f>
        <v>14.300000000000011</v>
      </c>
      <c r="S53" s="84">
        <f>'HKL373'!K13</f>
        <v>1224.7</v>
      </c>
      <c r="T53" s="84">
        <f>'HKL373'!J13</f>
        <v>1540</v>
      </c>
      <c r="U53" s="84">
        <f>'[1]April-18'!U17</f>
        <v>1</v>
      </c>
      <c r="V53" s="84">
        <f t="shared" ref="V53:V54" si="125">(T53-S53)*U53</f>
        <v>315.29999999999995</v>
      </c>
      <c r="W53" s="85">
        <f t="shared" ref="W53:W54" si="126">N53/30/I53</f>
        <v>3.6044444444444443</v>
      </c>
      <c r="X53" s="84"/>
      <c r="Y53" s="82" t="str">
        <f>'HKL373'!B13</f>
        <v>01.01.2020</v>
      </c>
    </row>
    <row r="54" spans="1:25" s="40" customFormat="1" ht="39.950000000000003" customHeight="1" x14ac:dyDescent="0.25">
      <c r="A54" s="49">
        <v>7</v>
      </c>
      <c r="B54" s="50" t="s">
        <v>43</v>
      </c>
      <c r="C54" s="56" t="str">
        <f t="shared" si="116"/>
        <v>HDKOTE/1714</v>
      </c>
      <c r="D54" s="51" t="s">
        <v>200</v>
      </c>
      <c r="E54" s="55" t="str">
        <f t="shared" si="117"/>
        <v>HKL373</v>
      </c>
      <c r="F54" s="50">
        <f t="shared" si="118"/>
        <v>0.24</v>
      </c>
      <c r="G54" s="49" t="s">
        <v>221</v>
      </c>
      <c r="H54" s="64" t="s">
        <v>222</v>
      </c>
      <c r="I54" s="49">
        <f t="shared" si="119"/>
        <v>3</v>
      </c>
      <c r="J54" s="49" t="str">
        <f t="shared" si="120"/>
        <v>LT 2</v>
      </c>
      <c r="K54" s="84">
        <f>'HKL373'!Q14</f>
        <v>1265</v>
      </c>
      <c r="L54" s="84">
        <f>'HKL373'!P14</f>
        <v>1559</v>
      </c>
      <c r="M54" s="84">
        <f>'HKL373'!S14</f>
        <v>1</v>
      </c>
      <c r="N54" s="84">
        <f>'HKL373'!T14</f>
        <v>294</v>
      </c>
      <c r="O54" s="84">
        <f>'HKL373'!F14</f>
        <v>89.9</v>
      </c>
      <c r="P54" s="84">
        <f>'HKL373'!E14</f>
        <v>101.9</v>
      </c>
      <c r="Q54" s="84">
        <f t="shared" si="121"/>
        <v>1</v>
      </c>
      <c r="R54" s="84">
        <f t="shared" si="124"/>
        <v>12</v>
      </c>
      <c r="S54" s="84">
        <f>'HKL373'!K14</f>
        <v>1540</v>
      </c>
      <c r="T54" s="84">
        <f>'HKL373'!J14</f>
        <v>1833</v>
      </c>
      <c r="U54" s="84">
        <f>'[1]April-18'!U18</f>
        <v>1</v>
      </c>
      <c r="V54" s="84">
        <f t="shared" si="125"/>
        <v>293</v>
      </c>
      <c r="W54" s="85">
        <f t="shared" si="126"/>
        <v>3.2666666666666671</v>
      </c>
      <c r="X54" s="84"/>
      <c r="Y54" s="82" t="s">
        <v>253</v>
      </c>
    </row>
    <row r="55" spans="1:25" s="40" customFormat="1" ht="39.950000000000003" customHeight="1" x14ac:dyDescent="0.25">
      <c r="A55" s="49">
        <v>1</v>
      </c>
      <c r="B55" s="50" t="s">
        <v>43</v>
      </c>
      <c r="C55" s="56" t="s">
        <v>229</v>
      </c>
      <c r="D55" s="51" t="s">
        <v>161</v>
      </c>
      <c r="E55" s="55" t="s">
        <v>163</v>
      </c>
      <c r="F55" s="50">
        <v>0.24</v>
      </c>
      <c r="G55" s="49" t="s">
        <v>221</v>
      </c>
      <c r="H55" s="64" t="s">
        <v>222</v>
      </c>
      <c r="I55" s="49">
        <v>3</v>
      </c>
      <c r="J55" s="49" t="s">
        <v>223</v>
      </c>
      <c r="K55" s="84">
        <f>'HKL77'!Q8</f>
        <v>454.2</v>
      </c>
      <c r="L55" s="84">
        <f>'HKL77'!P8</f>
        <v>718.7</v>
      </c>
      <c r="M55" s="84">
        <f>'[1]April-18'!M13</f>
        <v>1</v>
      </c>
      <c r="N55" s="84">
        <f t="shared" si="0"/>
        <v>264.50000000000006</v>
      </c>
      <c r="O55" s="84">
        <f>'HKL77'!F8</f>
        <v>7.5</v>
      </c>
      <c r="P55" s="84">
        <f>'HKL77'!E8</f>
        <v>21.3</v>
      </c>
      <c r="Q55" s="84">
        <v>1</v>
      </c>
      <c r="R55" s="84">
        <f t="shared" si="16"/>
        <v>13.8</v>
      </c>
      <c r="S55" s="84">
        <f>'HKL77'!K8</f>
        <v>250.2</v>
      </c>
      <c r="T55" s="84">
        <f>'HKL77'!J8</f>
        <v>525.20000000000005</v>
      </c>
      <c r="U55" s="84">
        <f>'[1]April-18'!U13</f>
        <v>1</v>
      </c>
      <c r="V55" s="84">
        <f t="shared" si="17"/>
        <v>275.00000000000006</v>
      </c>
      <c r="W55" s="85">
        <f t="shared" si="18"/>
        <v>2.9388888888888896</v>
      </c>
      <c r="X55" s="84"/>
      <c r="Y55" s="82" t="str">
        <f>'HKL77'!B8</f>
        <v>01.08.2019</v>
      </c>
    </row>
    <row r="56" spans="1:25" s="40" customFormat="1" ht="39.950000000000003" customHeight="1" x14ac:dyDescent="0.25">
      <c r="A56" s="49">
        <v>2</v>
      </c>
      <c r="B56" s="50" t="s">
        <v>43</v>
      </c>
      <c r="C56" s="56" t="str">
        <f>C55</f>
        <v>HDKOTE/1714</v>
      </c>
      <c r="D56" s="51" t="s">
        <v>161</v>
      </c>
      <c r="E56" s="55" t="str">
        <f>E55</f>
        <v>HKL77</v>
      </c>
      <c r="F56" s="50">
        <f>F55</f>
        <v>0.24</v>
      </c>
      <c r="G56" s="49" t="s">
        <v>221</v>
      </c>
      <c r="H56" s="64" t="s">
        <v>222</v>
      </c>
      <c r="I56" s="49">
        <f>I55</f>
        <v>3</v>
      </c>
      <c r="J56" s="49" t="str">
        <f>J55</f>
        <v>LT 2</v>
      </c>
      <c r="K56" s="84">
        <f>'HKL77'!Q9</f>
        <v>718.7</v>
      </c>
      <c r="L56" s="84">
        <f>'HKL77'!P9</f>
        <v>960</v>
      </c>
      <c r="M56" s="84">
        <f>'[1]April-18'!M14</f>
        <v>1</v>
      </c>
      <c r="N56" s="84">
        <f t="shared" ref="N56" si="127">(L56-K56)*M56</f>
        <v>241.29999999999995</v>
      </c>
      <c r="O56" s="84">
        <f>'HKL77'!F9</f>
        <v>21.3</v>
      </c>
      <c r="P56" s="84">
        <f>'HKL77'!E9</f>
        <v>35.5</v>
      </c>
      <c r="Q56" s="84">
        <f>Q55</f>
        <v>1</v>
      </c>
      <c r="R56" s="84">
        <f t="shared" ref="R56" si="128">(P56-O56)*Q56</f>
        <v>14.2</v>
      </c>
      <c r="S56" s="84">
        <f>'HKL77'!K9</f>
        <v>525.20000000000005</v>
      </c>
      <c r="T56" s="84">
        <f>'HKL77'!J9</f>
        <v>744</v>
      </c>
      <c r="U56" s="84">
        <f>'[1]April-18'!U14</f>
        <v>1</v>
      </c>
      <c r="V56" s="84">
        <f t="shared" ref="V56" si="129">(T56-S56)*U56</f>
        <v>218.79999999999995</v>
      </c>
      <c r="W56" s="85">
        <f t="shared" si="18"/>
        <v>2.6811111111111106</v>
      </c>
      <c r="X56" s="84"/>
      <c r="Y56" s="82" t="str">
        <f>'HKL77'!B9</f>
        <v>01.09.2019</v>
      </c>
    </row>
    <row r="57" spans="1:25" s="40" customFormat="1" ht="39.950000000000003" customHeight="1" x14ac:dyDescent="0.25">
      <c r="A57" s="49">
        <v>3</v>
      </c>
      <c r="B57" s="50" t="s">
        <v>43</v>
      </c>
      <c r="C57" s="56" t="str">
        <f>C56</f>
        <v>HDKOTE/1714</v>
      </c>
      <c r="D57" s="51" t="s">
        <v>161</v>
      </c>
      <c r="E57" s="55" t="str">
        <f>E56</f>
        <v>HKL77</v>
      </c>
      <c r="F57" s="50">
        <f>F56</f>
        <v>0.24</v>
      </c>
      <c r="G57" s="49" t="s">
        <v>221</v>
      </c>
      <c r="H57" s="64" t="s">
        <v>222</v>
      </c>
      <c r="I57" s="49">
        <f t="shared" ref="I57:J61" si="130">I56</f>
        <v>3</v>
      </c>
      <c r="J57" s="49" t="str">
        <f t="shared" si="130"/>
        <v>LT 2</v>
      </c>
      <c r="K57" s="84">
        <f>'HKL77'!Q10</f>
        <v>960</v>
      </c>
      <c r="L57" s="84">
        <f>'HKL77'!P10</f>
        <v>1199</v>
      </c>
      <c r="M57" s="84">
        <f>'[1]April-18'!M15</f>
        <v>1</v>
      </c>
      <c r="N57" s="84">
        <f t="shared" ref="N57" si="131">(L57-K57)*M57</f>
        <v>239</v>
      </c>
      <c r="O57" s="84">
        <f>'HKL77'!F10</f>
        <v>35.5</v>
      </c>
      <c r="P57" s="84">
        <f>'HKL77'!E10</f>
        <v>46.7</v>
      </c>
      <c r="Q57" s="84">
        <f>Q56</f>
        <v>1</v>
      </c>
      <c r="R57" s="84">
        <f t="shared" ref="R57" si="132">(P57-O57)*Q57</f>
        <v>11.200000000000003</v>
      </c>
      <c r="S57" s="84">
        <f>'HKL77'!K10</f>
        <v>744</v>
      </c>
      <c r="T57" s="84">
        <f>'HKL77'!J10</f>
        <v>966</v>
      </c>
      <c r="U57" s="84">
        <f>'[1]April-18'!U15</f>
        <v>1</v>
      </c>
      <c r="V57" s="84">
        <f t="shared" ref="V57" si="133">(T57-S57)*U57</f>
        <v>222</v>
      </c>
      <c r="W57" s="85">
        <f t="shared" si="18"/>
        <v>2.6555555555555554</v>
      </c>
      <c r="X57" s="84"/>
      <c r="Y57" s="82" t="str">
        <f>'HKL77'!B10</f>
        <v>01.10.2019</v>
      </c>
    </row>
    <row r="58" spans="1:25" s="40" customFormat="1" ht="39.950000000000003" customHeight="1" x14ac:dyDescent="0.25">
      <c r="A58" s="49">
        <v>4</v>
      </c>
      <c r="B58" s="50" t="s">
        <v>43</v>
      </c>
      <c r="C58" s="56" t="str">
        <f>C56</f>
        <v>HDKOTE/1714</v>
      </c>
      <c r="D58" s="51" t="s">
        <v>161</v>
      </c>
      <c r="E58" s="55" t="str">
        <f>E56</f>
        <v>HKL77</v>
      </c>
      <c r="F58" s="50">
        <f>F57</f>
        <v>0.24</v>
      </c>
      <c r="G58" s="49" t="s">
        <v>221</v>
      </c>
      <c r="H58" s="64" t="s">
        <v>222</v>
      </c>
      <c r="I58" s="49">
        <f t="shared" si="130"/>
        <v>3</v>
      </c>
      <c r="J58" s="49" t="str">
        <f t="shared" si="130"/>
        <v>LT 2</v>
      </c>
      <c r="K58" s="84">
        <f>'HKL77'!Q11</f>
        <v>1199</v>
      </c>
      <c r="L58" s="84">
        <f>'HKL77'!P11</f>
        <v>1430</v>
      </c>
      <c r="M58" s="84">
        <f>'[1]April-18'!M16</f>
        <v>1</v>
      </c>
      <c r="N58" s="84">
        <f t="shared" ref="N58" si="134">(L58-K58)*M58</f>
        <v>231</v>
      </c>
      <c r="O58" s="84">
        <f>'HKL77'!F11</f>
        <v>46.7</v>
      </c>
      <c r="P58" s="84">
        <f>'HKL77'!E11</f>
        <v>56.7</v>
      </c>
      <c r="Q58" s="84">
        <f>Q56</f>
        <v>1</v>
      </c>
      <c r="R58" s="84">
        <f t="shared" ref="R58" si="135">(P58-O58)*Q58</f>
        <v>10</v>
      </c>
      <c r="S58" s="84">
        <f>'HKL77'!K11</f>
        <v>966</v>
      </c>
      <c r="T58" s="84">
        <f>'HKL77'!J11</f>
        <v>1183</v>
      </c>
      <c r="U58" s="84">
        <f>'[1]April-18'!U16</f>
        <v>1</v>
      </c>
      <c r="V58" s="84">
        <f t="shared" ref="V58" si="136">(T58-S58)*U58</f>
        <v>217</v>
      </c>
      <c r="W58" s="85">
        <f t="shared" si="18"/>
        <v>2.5666666666666669</v>
      </c>
      <c r="X58" s="84"/>
      <c r="Y58" s="82" t="str">
        <f>'HKL77'!B11</f>
        <v>01.11.2019</v>
      </c>
    </row>
    <row r="59" spans="1:25" s="40" customFormat="1" ht="39.950000000000003" customHeight="1" x14ac:dyDescent="0.25">
      <c r="A59" s="49">
        <v>5</v>
      </c>
      <c r="B59" s="50" t="s">
        <v>43</v>
      </c>
      <c r="C59" s="56" t="str">
        <f>C57</f>
        <v>HDKOTE/1714</v>
      </c>
      <c r="D59" s="51" t="s">
        <v>161</v>
      </c>
      <c r="E59" s="55" t="str">
        <f>E57</f>
        <v>HKL77</v>
      </c>
      <c r="F59" s="50">
        <f>F58</f>
        <v>0.24</v>
      </c>
      <c r="G59" s="49" t="s">
        <v>221</v>
      </c>
      <c r="H59" s="64" t="s">
        <v>222</v>
      </c>
      <c r="I59" s="49">
        <f t="shared" si="130"/>
        <v>3</v>
      </c>
      <c r="J59" s="49" t="str">
        <f t="shared" si="130"/>
        <v>LT 2</v>
      </c>
      <c r="K59" s="84">
        <f>'HKL77'!Q12</f>
        <v>1430</v>
      </c>
      <c r="L59" s="84">
        <f>'HKL77'!P12</f>
        <v>1693.9</v>
      </c>
      <c r="M59" s="84">
        <f>'[1]April-18'!M17</f>
        <v>1</v>
      </c>
      <c r="N59" s="84">
        <f t="shared" ref="N59" si="137">(L59-K59)*M59</f>
        <v>263.90000000000009</v>
      </c>
      <c r="O59" s="84">
        <f>'HKL77'!F12</f>
        <v>56.7</v>
      </c>
      <c r="P59" s="84">
        <f>'HKL77'!E12</f>
        <v>77.7</v>
      </c>
      <c r="Q59" s="84">
        <f>Q57</f>
        <v>1</v>
      </c>
      <c r="R59" s="84">
        <f t="shared" ref="R59" si="138">(P59-O59)*Q59</f>
        <v>21</v>
      </c>
      <c r="S59" s="84">
        <f>'HKL77'!K12</f>
        <v>1183</v>
      </c>
      <c r="T59" s="84">
        <f>'HKL77'!J12</f>
        <v>1518.5</v>
      </c>
      <c r="U59" s="84">
        <f>'[1]April-18'!U17</f>
        <v>1</v>
      </c>
      <c r="V59" s="84">
        <f t="shared" ref="V59" si="139">(T59-S59)*U59</f>
        <v>335.5</v>
      </c>
      <c r="W59" s="85">
        <f t="shared" si="18"/>
        <v>2.9322222222222236</v>
      </c>
      <c r="X59" s="84"/>
      <c r="Y59" s="82" t="str">
        <f>'HKL77'!B12</f>
        <v>01.12.2019</v>
      </c>
    </row>
    <row r="60" spans="1:25" s="40" customFormat="1" ht="39.950000000000003" customHeight="1" x14ac:dyDescent="0.25">
      <c r="A60" s="49">
        <v>6</v>
      </c>
      <c r="B60" s="50" t="s">
        <v>43</v>
      </c>
      <c r="C60" s="56" t="str">
        <f>C58</f>
        <v>HDKOTE/1714</v>
      </c>
      <c r="D60" s="51" t="s">
        <v>161</v>
      </c>
      <c r="E60" s="55" t="str">
        <f>E58</f>
        <v>HKL77</v>
      </c>
      <c r="F60" s="50">
        <f>F59</f>
        <v>0.24</v>
      </c>
      <c r="G60" s="49" t="s">
        <v>221</v>
      </c>
      <c r="H60" s="64" t="s">
        <v>222</v>
      </c>
      <c r="I60" s="49">
        <f t="shared" si="130"/>
        <v>3</v>
      </c>
      <c r="J60" s="49" t="str">
        <f t="shared" si="130"/>
        <v>LT 2</v>
      </c>
      <c r="K60" s="84">
        <f>'HKL77'!Q13</f>
        <v>1693.9</v>
      </c>
      <c r="L60" s="84">
        <f>'HKL77'!P13</f>
        <v>1949</v>
      </c>
      <c r="M60" s="84">
        <f>'[1]April-18'!M18</f>
        <v>1</v>
      </c>
      <c r="N60" s="84">
        <f t="shared" ref="N60:N61" si="140">(L60-K60)*M60</f>
        <v>255.09999999999991</v>
      </c>
      <c r="O60" s="84">
        <f>'HKL77'!F13</f>
        <v>77.7</v>
      </c>
      <c r="P60" s="84">
        <f>'HKL77'!E13</f>
        <v>89.6</v>
      </c>
      <c r="Q60" s="84">
        <f>Q58</f>
        <v>1</v>
      </c>
      <c r="R60" s="84">
        <f t="shared" ref="R60:R61" si="141">(P60-O60)*Q60</f>
        <v>11.899999999999991</v>
      </c>
      <c r="S60" s="84">
        <f>'HKL77'!K13</f>
        <v>1518.5</v>
      </c>
      <c r="T60" s="84">
        <f>'HKL77'!J13</f>
        <v>1744</v>
      </c>
      <c r="U60" s="84">
        <f>'[1]April-18'!U18</f>
        <v>1</v>
      </c>
      <c r="V60" s="84">
        <f t="shared" ref="V60:V61" si="142">(T60-S60)*U60</f>
        <v>225.5</v>
      </c>
      <c r="W60" s="85">
        <f t="shared" ref="W60:W61" si="143">N60/30/I60</f>
        <v>2.8344444444444434</v>
      </c>
      <c r="X60" s="84"/>
      <c r="Y60" s="82" t="str">
        <f>'HKL77'!B13</f>
        <v>01.01.2020</v>
      </c>
    </row>
    <row r="61" spans="1:25" s="40" customFormat="1" ht="39.950000000000003" customHeight="1" x14ac:dyDescent="0.25">
      <c r="A61" s="49">
        <v>7</v>
      </c>
      <c r="B61" s="50" t="s">
        <v>43</v>
      </c>
      <c r="C61" s="56" t="str">
        <f>C59</f>
        <v>HDKOTE/1714</v>
      </c>
      <c r="D61" s="51" t="s">
        <v>161</v>
      </c>
      <c r="E61" s="55" t="str">
        <f>E59</f>
        <v>HKL77</v>
      </c>
      <c r="F61" s="50">
        <f>F60</f>
        <v>0.24</v>
      </c>
      <c r="G61" s="49" t="s">
        <v>221</v>
      </c>
      <c r="H61" s="64" t="s">
        <v>222</v>
      </c>
      <c r="I61" s="49">
        <f t="shared" si="130"/>
        <v>3</v>
      </c>
      <c r="J61" s="49" t="str">
        <f t="shared" si="130"/>
        <v>LT 2</v>
      </c>
      <c r="K61" s="84">
        <f>'HKL77'!Q14</f>
        <v>1949</v>
      </c>
      <c r="L61" s="84">
        <f>'HKL77'!P14</f>
        <v>2203</v>
      </c>
      <c r="M61" s="84">
        <f>'[1]April-18'!M19</f>
        <v>1</v>
      </c>
      <c r="N61" s="84">
        <f t="shared" si="140"/>
        <v>254</v>
      </c>
      <c r="O61" s="84">
        <f>'HKL77'!F14</f>
        <v>89.6</v>
      </c>
      <c r="P61" s="84">
        <f>'HKL77'!E14</f>
        <v>101.6</v>
      </c>
      <c r="Q61" s="84">
        <f>Q59</f>
        <v>1</v>
      </c>
      <c r="R61" s="84">
        <f t="shared" si="141"/>
        <v>12</v>
      </c>
      <c r="S61" s="84">
        <f>'HKL77'!K14</f>
        <v>1744</v>
      </c>
      <c r="T61" s="84">
        <f>'HKL77'!J14</f>
        <v>1970</v>
      </c>
      <c r="U61" s="84">
        <f>'[1]April-18'!U19</f>
        <v>1</v>
      </c>
      <c r="V61" s="84">
        <f t="shared" si="142"/>
        <v>226</v>
      </c>
      <c r="W61" s="85">
        <f t="shared" si="143"/>
        <v>2.8222222222222224</v>
      </c>
      <c r="X61" s="84"/>
      <c r="Y61" s="82" t="s">
        <v>253</v>
      </c>
    </row>
    <row r="62" spans="1:25" s="40" customFormat="1" ht="39.950000000000003" customHeight="1" x14ac:dyDescent="0.25">
      <c r="A62" s="49">
        <v>1</v>
      </c>
      <c r="B62" s="50" t="s">
        <v>43</v>
      </c>
      <c r="C62" s="56" t="s">
        <v>229</v>
      </c>
      <c r="D62" s="51" t="s">
        <v>168</v>
      </c>
      <c r="E62" s="55" t="s">
        <v>167</v>
      </c>
      <c r="F62" s="50">
        <v>0.24</v>
      </c>
      <c r="G62" s="49" t="s">
        <v>221</v>
      </c>
      <c r="H62" s="64" t="s">
        <v>222</v>
      </c>
      <c r="I62" s="49">
        <v>3</v>
      </c>
      <c r="J62" s="49" t="s">
        <v>224</v>
      </c>
      <c r="K62" s="84">
        <f>'HKL279'!Q8</f>
        <v>1493.6</v>
      </c>
      <c r="L62" s="84">
        <f>'HKL279'!P8</f>
        <v>1675.3</v>
      </c>
      <c r="M62" s="84">
        <f>'[1]April-18'!M14</f>
        <v>1</v>
      </c>
      <c r="N62" s="84">
        <f t="shared" si="0"/>
        <v>181.70000000000005</v>
      </c>
      <c r="O62" s="84">
        <f>'HKL279'!F8</f>
        <v>92.1</v>
      </c>
      <c r="P62" s="84">
        <f>'HKL279'!E8</f>
        <v>191</v>
      </c>
      <c r="Q62" s="84">
        <v>1</v>
      </c>
      <c r="R62" s="84">
        <f t="shared" si="16"/>
        <v>98.9</v>
      </c>
      <c r="S62" s="84">
        <f>'HKL279'!K8</f>
        <v>105.2</v>
      </c>
      <c r="T62" s="84">
        <f>'HKL279'!J8</f>
        <v>227.6</v>
      </c>
      <c r="U62" s="84">
        <f>'[1]April-18'!U14</f>
        <v>1</v>
      </c>
      <c r="V62" s="84">
        <f t="shared" si="17"/>
        <v>122.39999999999999</v>
      </c>
      <c r="W62" s="85">
        <f t="shared" si="18"/>
        <v>2.0188888888888896</v>
      </c>
      <c r="X62" s="84"/>
      <c r="Y62" s="82" t="str">
        <f>'HKL279'!B8</f>
        <v>01.08.2019</v>
      </c>
    </row>
    <row r="63" spans="1:25" s="40" customFormat="1" ht="39.950000000000003" customHeight="1" x14ac:dyDescent="0.25">
      <c r="A63" s="49">
        <v>2</v>
      </c>
      <c r="B63" s="50" t="s">
        <v>43</v>
      </c>
      <c r="C63" s="56" t="str">
        <f>C62</f>
        <v>HDKOTE/1714</v>
      </c>
      <c r="D63" s="51" t="s">
        <v>168</v>
      </c>
      <c r="E63" s="55" t="str">
        <f>E62</f>
        <v>HKL279</v>
      </c>
      <c r="F63" s="50">
        <f>F62</f>
        <v>0.24</v>
      </c>
      <c r="G63" s="49" t="s">
        <v>221</v>
      </c>
      <c r="H63" s="64" t="s">
        <v>222</v>
      </c>
      <c r="I63" s="49">
        <f>I62</f>
        <v>3</v>
      </c>
      <c r="J63" s="49" t="str">
        <f>J62</f>
        <v>LT 3</v>
      </c>
      <c r="K63" s="84">
        <f>'HKL279'!Q9</f>
        <v>1675.3</v>
      </c>
      <c r="L63" s="84">
        <f>'HKL279'!P9</f>
        <v>1841</v>
      </c>
      <c r="M63" s="84">
        <f>'[1]April-18'!M15</f>
        <v>1</v>
      </c>
      <c r="N63" s="84">
        <f>(L63-K63)*M63</f>
        <v>165.70000000000005</v>
      </c>
      <c r="O63" s="84">
        <f>'HKL279'!F9</f>
        <v>191</v>
      </c>
      <c r="P63" s="84">
        <f>'HKL279'!E9</f>
        <v>290</v>
      </c>
      <c r="Q63" s="84">
        <f>Q62</f>
        <v>1</v>
      </c>
      <c r="R63" s="84">
        <f>(P63-O63)*Q63</f>
        <v>99</v>
      </c>
      <c r="S63" s="84">
        <f>'HKL279'!K9</f>
        <v>227.6</v>
      </c>
      <c r="T63" s="84">
        <f>'HKL279'!J9</f>
        <v>332</v>
      </c>
      <c r="U63" s="84">
        <f>'[1]April-18'!U15</f>
        <v>1</v>
      </c>
      <c r="V63" s="84">
        <f>(T63-S63)*U63</f>
        <v>104.4</v>
      </c>
      <c r="W63" s="85">
        <f t="shared" si="18"/>
        <v>1.8411111111111118</v>
      </c>
      <c r="X63" s="84"/>
      <c r="Y63" s="82" t="str">
        <f>'HKL279'!B9</f>
        <v>01.09.2019</v>
      </c>
    </row>
    <row r="64" spans="1:25" s="40" customFormat="1" ht="39.950000000000003" customHeight="1" x14ac:dyDescent="0.25">
      <c r="A64" s="49">
        <v>3</v>
      </c>
      <c r="B64" s="50" t="s">
        <v>43</v>
      </c>
      <c r="C64" s="56" t="str">
        <f>C63</f>
        <v>HDKOTE/1714</v>
      </c>
      <c r="D64" s="51" t="s">
        <v>168</v>
      </c>
      <c r="E64" s="55" t="str">
        <f>E63</f>
        <v>HKL279</v>
      </c>
      <c r="F64" s="50">
        <f>F63</f>
        <v>0.24</v>
      </c>
      <c r="G64" s="49" t="s">
        <v>221</v>
      </c>
      <c r="H64" s="64" t="s">
        <v>222</v>
      </c>
      <c r="I64" s="49">
        <f>I63</f>
        <v>3</v>
      </c>
      <c r="J64" s="49" t="str">
        <f>J63</f>
        <v>LT 3</v>
      </c>
      <c r="K64" s="84">
        <f>'HKL279'!Q10</f>
        <v>1841</v>
      </c>
      <c r="L64" s="84">
        <f>'HKL279'!P10</f>
        <v>2047.9</v>
      </c>
      <c r="M64" s="84">
        <f>'[1]April-18'!M16</f>
        <v>1</v>
      </c>
      <c r="N64" s="84">
        <f>(L64-K64)*M64</f>
        <v>206.90000000000009</v>
      </c>
      <c r="O64" s="84">
        <f>'HKL279'!F10</f>
        <v>290</v>
      </c>
      <c r="P64" s="84">
        <f>'HKL279'!E10</f>
        <v>393</v>
      </c>
      <c r="Q64" s="84">
        <f>Q63</f>
        <v>1</v>
      </c>
      <c r="R64" s="84">
        <f>(P64-O64)*Q64</f>
        <v>103</v>
      </c>
      <c r="S64" s="84">
        <f>'HKL279'!K10</f>
        <v>332</v>
      </c>
      <c r="T64" s="84">
        <f>'HKL279'!J10</f>
        <v>464</v>
      </c>
      <c r="U64" s="84">
        <f>'[1]April-18'!U16</f>
        <v>1</v>
      </c>
      <c r="V64" s="84">
        <f>(T64-S64)*U64</f>
        <v>132</v>
      </c>
      <c r="W64" s="85">
        <f t="shared" si="18"/>
        <v>2.2988888888888899</v>
      </c>
      <c r="X64" s="84"/>
      <c r="Y64" s="82" t="str">
        <f>'HKL279'!B10</f>
        <v>01.10.2019</v>
      </c>
    </row>
    <row r="65" spans="1:25" s="40" customFormat="1" ht="39.950000000000003" customHeight="1" x14ac:dyDescent="0.25">
      <c r="A65" s="49">
        <v>4</v>
      </c>
      <c r="B65" s="50" t="s">
        <v>43</v>
      </c>
      <c r="C65" s="56" t="str">
        <f t="shared" ref="C65:C68" si="144">C64</f>
        <v>HDKOTE/1714</v>
      </c>
      <c r="D65" s="51" t="s">
        <v>168</v>
      </c>
      <c r="E65" s="55" t="str">
        <f t="shared" ref="E65:E68" si="145">E64</f>
        <v>HKL279</v>
      </c>
      <c r="F65" s="50">
        <f t="shared" ref="F65:F68" si="146">F64</f>
        <v>0.24</v>
      </c>
      <c r="G65" s="49" t="s">
        <v>221</v>
      </c>
      <c r="H65" s="64" t="s">
        <v>222</v>
      </c>
      <c r="I65" s="49">
        <f t="shared" ref="I65:I68" si="147">I64</f>
        <v>3</v>
      </c>
      <c r="J65" s="49" t="str">
        <f t="shared" ref="J65:J68" si="148">J64</f>
        <v>LT 3</v>
      </c>
      <c r="K65" s="84">
        <f>'HKL279'!Q11</f>
        <v>2047.9</v>
      </c>
      <c r="L65" s="84">
        <f>'HKL279'!P11</f>
        <v>2229.4</v>
      </c>
      <c r="M65" s="84">
        <f>'[1]April-18'!M17</f>
        <v>1</v>
      </c>
      <c r="N65" s="84">
        <f t="shared" ref="N65:N66" si="149">(L65-K65)*M65</f>
        <v>181.5</v>
      </c>
      <c r="O65" s="84">
        <f>'HKL279'!F11</f>
        <v>393</v>
      </c>
      <c r="P65" s="84">
        <f>'HKL279'!E11</f>
        <v>498.5</v>
      </c>
      <c r="Q65" s="84">
        <f t="shared" ref="Q65:Q68" si="150">Q64</f>
        <v>1</v>
      </c>
      <c r="R65" s="84">
        <f t="shared" ref="R65:R66" si="151">(P65-O65)*Q65</f>
        <v>105.5</v>
      </c>
      <c r="S65" s="84">
        <f>'HKL279'!K11</f>
        <v>464</v>
      </c>
      <c r="T65" s="84">
        <f>'HKL279'!J11</f>
        <v>601.20000000000005</v>
      </c>
      <c r="U65" s="84">
        <f>'[1]April-18'!U17</f>
        <v>1</v>
      </c>
      <c r="V65" s="84">
        <f t="shared" ref="V65:V66" si="152">(T65-S65)*U65</f>
        <v>137.20000000000005</v>
      </c>
      <c r="W65" s="85">
        <f t="shared" si="18"/>
        <v>2.0166666666666666</v>
      </c>
      <c r="X65" s="84"/>
      <c r="Y65" s="82" t="str">
        <f>'HKL279'!B11</f>
        <v>01.11.2019</v>
      </c>
    </row>
    <row r="66" spans="1:25" s="40" customFormat="1" ht="39.950000000000003" customHeight="1" x14ac:dyDescent="0.25">
      <c r="A66" s="49">
        <v>5</v>
      </c>
      <c r="B66" s="50" t="s">
        <v>43</v>
      </c>
      <c r="C66" s="56" t="str">
        <f t="shared" si="144"/>
        <v>HDKOTE/1714</v>
      </c>
      <c r="D66" s="51" t="s">
        <v>168</v>
      </c>
      <c r="E66" s="55" t="str">
        <f t="shared" si="145"/>
        <v>HKL279</v>
      </c>
      <c r="F66" s="50">
        <f t="shared" si="146"/>
        <v>0.24</v>
      </c>
      <c r="G66" s="49" t="s">
        <v>221</v>
      </c>
      <c r="H66" s="64" t="s">
        <v>222</v>
      </c>
      <c r="I66" s="49">
        <f t="shared" si="147"/>
        <v>3</v>
      </c>
      <c r="J66" s="49" t="str">
        <f t="shared" si="148"/>
        <v>LT 3</v>
      </c>
      <c r="K66" s="84">
        <f>'HKL279'!Q12</f>
        <v>2229.4</v>
      </c>
      <c r="L66" s="84">
        <f>'HKL279'!P12</f>
        <v>2412.4</v>
      </c>
      <c r="M66" s="84">
        <f>'[1]April-18'!M18</f>
        <v>1</v>
      </c>
      <c r="N66" s="84">
        <f t="shared" si="149"/>
        <v>183</v>
      </c>
      <c r="O66" s="84">
        <f>'HKL279'!F12</f>
        <v>498.5</v>
      </c>
      <c r="P66" s="84">
        <f>'HKL279'!E12</f>
        <v>616.4</v>
      </c>
      <c r="Q66" s="84">
        <f t="shared" si="150"/>
        <v>1</v>
      </c>
      <c r="R66" s="84">
        <f t="shared" si="151"/>
        <v>117.89999999999998</v>
      </c>
      <c r="S66" s="84">
        <f>'HKL279'!K12</f>
        <v>601.20000000000005</v>
      </c>
      <c r="T66" s="84">
        <f>'HKL279'!J12</f>
        <v>707.4</v>
      </c>
      <c r="U66" s="84">
        <f>'[1]April-18'!U18</f>
        <v>1</v>
      </c>
      <c r="V66" s="84">
        <f t="shared" si="152"/>
        <v>106.19999999999993</v>
      </c>
      <c r="W66" s="85">
        <f t="shared" si="18"/>
        <v>2.0333333333333332</v>
      </c>
      <c r="X66" s="84"/>
      <c r="Y66" s="82" t="str">
        <f>'HKL279'!B12</f>
        <v>01.12.2019</v>
      </c>
    </row>
    <row r="67" spans="1:25" s="40" customFormat="1" ht="39.950000000000003" customHeight="1" x14ac:dyDescent="0.25">
      <c r="A67" s="49">
        <v>6</v>
      </c>
      <c r="B67" s="50" t="s">
        <v>43</v>
      </c>
      <c r="C67" s="56" t="str">
        <f t="shared" si="144"/>
        <v>HDKOTE/1714</v>
      </c>
      <c r="D67" s="51" t="s">
        <v>168</v>
      </c>
      <c r="E67" s="55" t="str">
        <f t="shared" si="145"/>
        <v>HKL279</v>
      </c>
      <c r="F67" s="50">
        <f t="shared" si="146"/>
        <v>0.24</v>
      </c>
      <c r="G67" s="49" t="s">
        <v>221</v>
      </c>
      <c r="H67" s="64" t="s">
        <v>222</v>
      </c>
      <c r="I67" s="49">
        <f t="shared" si="147"/>
        <v>3</v>
      </c>
      <c r="J67" s="49" t="str">
        <f t="shared" si="148"/>
        <v>LT 3</v>
      </c>
      <c r="K67" s="84">
        <f>'HKL279'!Q13</f>
        <v>2412.4</v>
      </c>
      <c r="L67" s="84">
        <f>'HKL279'!P13</f>
        <v>2537.8000000000002</v>
      </c>
      <c r="M67" s="84">
        <f>'[1]April-18'!M19</f>
        <v>1</v>
      </c>
      <c r="N67" s="84">
        <f t="shared" ref="N67:N68" si="153">(L67-K67)*M67</f>
        <v>125.40000000000009</v>
      </c>
      <c r="O67" s="84">
        <f>'HKL279'!F13</f>
        <v>616.4</v>
      </c>
      <c r="P67" s="84">
        <f>'HKL279'!E13</f>
        <v>718</v>
      </c>
      <c r="Q67" s="84">
        <f t="shared" si="150"/>
        <v>1</v>
      </c>
      <c r="R67" s="84">
        <f t="shared" ref="R67:R68" si="154">(P67-O67)*Q67</f>
        <v>101.60000000000002</v>
      </c>
      <c r="S67" s="84">
        <f>'HKL279'!K13</f>
        <v>707.4</v>
      </c>
      <c r="T67" s="84">
        <f>'HKL279'!J13</f>
        <v>794</v>
      </c>
      <c r="U67" s="84">
        <f>'[1]April-18'!U19</f>
        <v>1</v>
      </c>
      <c r="V67" s="84">
        <f t="shared" ref="V67:V68" si="155">(T67-S67)*U67</f>
        <v>86.600000000000023</v>
      </c>
      <c r="W67" s="85">
        <f t="shared" ref="W67:W68" si="156">N67/30/I67</f>
        <v>1.3933333333333344</v>
      </c>
      <c r="X67" s="84"/>
      <c r="Y67" s="82" t="str">
        <f>'HKL279'!B13</f>
        <v>01.01.2020</v>
      </c>
    </row>
    <row r="68" spans="1:25" s="40" customFormat="1" ht="39.950000000000003" customHeight="1" x14ac:dyDescent="0.25">
      <c r="A68" s="49">
        <v>7</v>
      </c>
      <c r="B68" s="50" t="s">
        <v>43</v>
      </c>
      <c r="C68" s="56" t="str">
        <f t="shared" si="144"/>
        <v>HDKOTE/1714</v>
      </c>
      <c r="D68" s="51" t="s">
        <v>168</v>
      </c>
      <c r="E68" s="55" t="str">
        <f t="shared" si="145"/>
        <v>HKL279</v>
      </c>
      <c r="F68" s="50">
        <f t="shared" si="146"/>
        <v>0.24</v>
      </c>
      <c r="G68" s="49" t="s">
        <v>221</v>
      </c>
      <c r="H68" s="64" t="s">
        <v>222</v>
      </c>
      <c r="I68" s="49">
        <f t="shared" si="147"/>
        <v>3</v>
      </c>
      <c r="J68" s="49" t="str">
        <f t="shared" si="148"/>
        <v>LT 3</v>
      </c>
      <c r="K68" s="84">
        <f>'HKL279'!Q14</f>
        <v>2537.8000000000002</v>
      </c>
      <c r="L68" s="84">
        <f>'HKL279'!P14</f>
        <v>2647</v>
      </c>
      <c r="M68" s="84">
        <f>'[1]April-18'!M20</f>
        <v>1</v>
      </c>
      <c r="N68" s="84">
        <f t="shared" si="153"/>
        <v>109.19999999999982</v>
      </c>
      <c r="O68" s="84">
        <f>'HKL279'!F14</f>
        <v>718</v>
      </c>
      <c r="P68" s="84">
        <f>'HKL279'!E14</f>
        <v>832.7</v>
      </c>
      <c r="Q68" s="84">
        <f t="shared" si="150"/>
        <v>1</v>
      </c>
      <c r="R68" s="84">
        <f t="shared" si="154"/>
        <v>114.70000000000005</v>
      </c>
      <c r="S68" s="84">
        <f>'HKL279'!K14</f>
        <v>794</v>
      </c>
      <c r="T68" s="84">
        <f>'HKL279'!J14</f>
        <v>854.9</v>
      </c>
      <c r="U68" s="84">
        <f>'[1]April-18'!U20</f>
        <v>1</v>
      </c>
      <c r="V68" s="84">
        <f t="shared" si="155"/>
        <v>60.899999999999977</v>
      </c>
      <c r="W68" s="85">
        <f t="shared" si="156"/>
        <v>1.2133333333333314</v>
      </c>
      <c r="X68" s="84"/>
      <c r="Y68" s="82" t="s">
        <v>253</v>
      </c>
    </row>
    <row r="69" spans="1:25" s="40" customFormat="1" ht="39.950000000000003" customHeight="1" x14ac:dyDescent="0.25">
      <c r="A69" s="49">
        <v>1</v>
      </c>
      <c r="B69" s="50" t="s">
        <v>43</v>
      </c>
      <c r="C69" s="56" t="s">
        <v>229</v>
      </c>
      <c r="D69" s="51" t="s">
        <v>177</v>
      </c>
      <c r="E69" s="55" t="s">
        <v>202</v>
      </c>
      <c r="F69" s="50">
        <v>2</v>
      </c>
      <c r="G69" s="49" t="s">
        <v>221</v>
      </c>
      <c r="H69" s="64" t="s">
        <v>222</v>
      </c>
      <c r="I69" s="49">
        <v>3</v>
      </c>
      <c r="J69" s="49" t="s">
        <v>224</v>
      </c>
      <c r="K69" s="84">
        <f>HDTL60474!Q8</f>
        <v>985.7</v>
      </c>
      <c r="L69" s="84">
        <f>HDTL60474!P8</f>
        <v>1217.8</v>
      </c>
      <c r="M69" s="84">
        <f>'[1]April-18'!M15</f>
        <v>1</v>
      </c>
      <c r="N69" s="84">
        <f t="shared" si="0"/>
        <v>232.09999999999991</v>
      </c>
      <c r="O69" s="84">
        <f>HDTL60474!F8</f>
        <v>214.5</v>
      </c>
      <c r="P69" s="84">
        <f>HDTL60474!E8</f>
        <v>507.5</v>
      </c>
      <c r="Q69" s="84">
        <v>1</v>
      </c>
      <c r="R69" s="84">
        <f t="shared" si="16"/>
        <v>293</v>
      </c>
      <c r="S69" s="84">
        <f>HDTL60474!K8</f>
        <v>129.1</v>
      </c>
      <c r="T69" s="84">
        <f>HDTL60474!J8</f>
        <v>270.3</v>
      </c>
      <c r="U69" s="84">
        <f>'[1]April-18'!U15</f>
        <v>1</v>
      </c>
      <c r="V69" s="84">
        <f t="shared" si="17"/>
        <v>141.20000000000002</v>
      </c>
      <c r="W69" s="85">
        <f t="shared" si="18"/>
        <v>2.5788888888888879</v>
      </c>
      <c r="X69" s="86"/>
      <c r="Y69" s="82" t="str">
        <f>HDTL60474!B8</f>
        <v>01.08.2018</v>
      </c>
    </row>
    <row r="70" spans="1:25" s="40" customFormat="1" ht="39.950000000000003" customHeight="1" x14ac:dyDescent="0.25">
      <c r="A70" s="49">
        <v>2</v>
      </c>
      <c r="B70" s="50" t="s">
        <v>43</v>
      </c>
      <c r="C70" s="56" t="str">
        <f>C69</f>
        <v>HDKOTE/1714</v>
      </c>
      <c r="D70" s="51" t="s">
        <v>177</v>
      </c>
      <c r="E70" s="55" t="str">
        <f>HDTL60474!B3</f>
        <v>HDTL60474</v>
      </c>
      <c r="F70" s="50">
        <f>F69</f>
        <v>2</v>
      </c>
      <c r="G70" s="49" t="s">
        <v>221</v>
      </c>
      <c r="H70" s="64" t="s">
        <v>222</v>
      </c>
      <c r="I70" s="49">
        <f>I69</f>
        <v>3</v>
      </c>
      <c r="J70" s="49" t="str">
        <f>J69</f>
        <v>LT 3</v>
      </c>
      <c r="K70" s="84">
        <f>HDTL60474!Q9</f>
        <v>1217.8</v>
      </c>
      <c r="L70" s="84">
        <f>HDTL60474!P9</f>
        <v>1389.7</v>
      </c>
      <c r="M70" s="84">
        <f>'[1]April-18'!M16</f>
        <v>1</v>
      </c>
      <c r="N70" s="84">
        <f t="shared" ref="N70" si="157">(L70-K70)*M70</f>
        <v>171.90000000000009</v>
      </c>
      <c r="O70" s="84">
        <f>HDTL60474!F9</f>
        <v>507.5</v>
      </c>
      <c r="P70" s="84">
        <f>HDTL60474!E9</f>
        <v>831</v>
      </c>
      <c r="Q70" s="84">
        <f>Q69</f>
        <v>1</v>
      </c>
      <c r="R70" s="84">
        <f t="shared" ref="R70" si="158">(P70-O70)*Q70</f>
        <v>323.5</v>
      </c>
      <c r="S70" s="84">
        <f>HDTL60474!K9</f>
        <v>270.3</v>
      </c>
      <c r="T70" s="84">
        <f>HDTL60474!J9</f>
        <v>374</v>
      </c>
      <c r="U70" s="84">
        <f>'[1]April-18'!U16</f>
        <v>1</v>
      </c>
      <c r="V70" s="84">
        <f t="shared" ref="V70" si="159">(T70-S70)*U70</f>
        <v>103.69999999999999</v>
      </c>
      <c r="W70" s="85">
        <f t="shared" si="18"/>
        <v>1.910000000000001</v>
      </c>
      <c r="X70" s="86"/>
      <c r="Y70" s="82" t="str">
        <f>HDTL60474!B9</f>
        <v>01.09.2019</v>
      </c>
    </row>
    <row r="71" spans="1:25" s="40" customFormat="1" ht="39.950000000000003" customHeight="1" x14ac:dyDescent="0.25">
      <c r="A71" s="49">
        <v>3</v>
      </c>
      <c r="B71" s="50" t="s">
        <v>43</v>
      </c>
      <c r="C71" s="56" t="str">
        <f>C70</f>
        <v>HDKOTE/1714</v>
      </c>
      <c r="D71" s="51" t="s">
        <v>177</v>
      </c>
      <c r="E71" s="55" t="str">
        <f>E70</f>
        <v>HDTL60474</v>
      </c>
      <c r="F71" s="50">
        <f>F70</f>
        <v>2</v>
      </c>
      <c r="G71" s="49" t="s">
        <v>221</v>
      </c>
      <c r="H71" s="64" t="s">
        <v>222</v>
      </c>
      <c r="I71" s="49">
        <f>I70</f>
        <v>3</v>
      </c>
      <c r="J71" s="49" t="str">
        <f>J70</f>
        <v>LT 3</v>
      </c>
      <c r="K71" s="84">
        <f>HDTL60474!Q10</f>
        <v>1389.7</v>
      </c>
      <c r="L71" s="84">
        <f>HDTL60474!P10</f>
        <v>1619.4</v>
      </c>
      <c r="M71" s="84">
        <f>'[1]April-18'!M17</f>
        <v>1</v>
      </c>
      <c r="N71" s="84">
        <f t="shared" ref="N71" si="160">(L71-K71)*M71</f>
        <v>229.70000000000005</v>
      </c>
      <c r="O71" s="84">
        <f>HDTL60474!F10</f>
        <v>831</v>
      </c>
      <c r="P71" s="84">
        <f>HDTL60474!E10</f>
        <v>1170.8</v>
      </c>
      <c r="Q71" s="84">
        <f>Q70</f>
        <v>1</v>
      </c>
      <c r="R71" s="84">
        <f t="shared" ref="R71" si="161">(P71-O71)*Q71</f>
        <v>339.79999999999995</v>
      </c>
      <c r="S71" s="84">
        <f>HDTL60474!K10</f>
        <v>374</v>
      </c>
      <c r="T71" s="84">
        <f>HDTL60474!J10</f>
        <v>502.2</v>
      </c>
      <c r="U71" s="84">
        <f>'[1]April-18'!U17</f>
        <v>1</v>
      </c>
      <c r="V71" s="84">
        <f t="shared" ref="V71" si="162">(T71-S71)*U71</f>
        <v>128.19999999999999</v>
      </c>
      <c r="W71" s="85">
        <f t="shared" si="18"/>
        <v>2.5522222222222228</v>
      </c>
      <c r="X71" s="86"/>
      <c r="Y71" s="82" t="str">
        <f>HDTL60474!B10</f>
        <v>01.10.2019</v>
      </c>
    </row>
    <row r="72" spans="1:25" s="40" customFormat="1" ht="39.950000000000003" customHeight="1" x14ac:dyDescent="0.25">
      <c r="A72" s="49">
        <v>4</v>
      </c>
      <c r="B72" s="50" t="s">
        <v>43</v>
      </c>
      <c r="C72" s="56" t="str">
        <f t="shared" ref="C72:C75" si="163">C71</f>
        <v>HDKOTE/1714</v>
      </c>
      <c r="D72" s="51" t="s">
        <v>177</v>
      </c>
      <c r="E72" s="55" t="str">
        <f t="shared" ref="E72:E75" si="164">E71</f>
        <v>HDTL60474</v>
      </c>
      <c r="F72" s="50">
        <f t="shared" ref="F72:F75" si="165">F71</f>
        <v>2</v>
      </c>
      <c r="G72" s="49" t="s">
        <v>221</v>
      </c>
      <c r="H72" s="64" t="s">
        <v>222</v>
      </c>
      <c r="I72" s="49">
        <f t="shared" ref="I72:I75" si="166">I71</f>
        <v>3</v>
      </c>
      <c r="J72" s="49" t="str">
        <f t="shared" ref="J72:J75" si="167">J71</f>
        <v>LT 3</v>
      </c>
      <c r="K72" s="84">
        <f>HDTL60474!Q11</f>
        <v>1619.4</v>
      </c>
      <c r="L72" s="84">
        <f>HDTL60474!P11</f>
        <v>1757.5</v>
      </c>
      <c r="M72" s="84">
        <f>'[1]April-18'!M18</f>
        <v>1</v>
      </c>
      <c r="N72" s="84">
        <f t="shared" ref="N72:N73" si="168">(L72-K72)*M72</f>
        <v>138.09999999999991</v>
      </c>
      <c r="O72" s="84">
        <f>HDTL60474!F11</f>
        <v>1170.8</v>
      </c>
      <c r="P72" s="84">
        <f>HDTL60474!E11</f>
        <v>1439</v>
      </c>
      <c r="Q72" s="84">
        <f t="shared" ref="Q72:Q75" si="169">Q71</f>
        <v>1</v>
      </c>
      <c r="R72" s="84">
        <f t="shared" ref="R72:R73" si="170">(P72-O72)*Q72</f>
        <v>268.20000000000005</v>
      </c>
      <c r="S72" s="84">
        <f>HDTL60474!K11</f>
        <v>502.2</v>
      </c>
      <c r="T72" s="84">
        <f>HDTL60474!J11</f>
        <v>603.6</v>
      </c>
      <c r="U72" s="84">
        <f>'[1]April-18'!U18</f>
        <v>1</v>
      </c>
      <c r="V72" s="84">
        <f t="shared" ref="V72:V73" si="171">(T72-S72)*U72</f>
        <v>101.40000000000003</v>
      </c>
      <c r="W72" s="85">
        <f t="shared" si="18"/>
        <v>1.5344444444444434</v>
      </c>
      <c r="X72" s="86"/>
      <c r="Y72" s="82" t="str">
        <f>HDTL60474!B11</f>
        <v>01.11.2019</v>
      </c>
    </row>
    <row r="73" spans="1:25" s="40" customFormat="1" ht="39.950000000000003" customHeight="1" x14ac:dyDescent="0.25">
      <c r="A73" s="49">
        <v>5</v>
      </c>
      <c r="B73" s="50" t="s">
        <v>43</v>
      </c>
      <c r="C73" s="56" t="str">
        <f t="shared" si="163"/>
        <v>HDKOTE/1714</v>
      </c>
      <c r="D73" s="51" t="s">
        <v>177</v>
      </c>
      <c r="E73" s="55" t="str">
        <f t="shared" si="164"/>
        <v>HDTL60474</v>
      </c>
      <c r="F73" s="50">
        <f t="shared" si="165"/>
        <v>2</v>
      </c>
      <c r="G73" s="49" t="s">
        <v>221</v>
      </c>
      <c r="H73" s="64" t="s">
        <v>222</v>
      </c>
      <c r="I73" s="49">
        <f t="shared" si="166"/>
        <v>3</v>
      </c>
      <c r="J73" s="49" t="str">
        <f t="shared" si="167"/>
        <v>LT 3</v>
      </c>
      <c r="K73" s="84">
        <f>HDTL60474!Q12</f>
        <v>1757.5</v>
      </c>
      <c r="L73" s="84">
        <f>HDTL60474!P12</f>
        <v>1763.4</v>
      </c>
      <c r="M73" s="84">
        <f>'[1]April-18'!M19</f>
        <v>1</v>
      </c>
      <c r="N73" s="84">
        <f t="shared" si="168"/>
        <v>5.9000000000000909</v>
      </c>
      <c r="O73" s="84">
        <f>HDTL60474!F12</f>
        <v>1439</v>
      </c>
      <c r="P73" s="84">
        <f>HDTL60474!E12</f>
        <v>1772.7</v>
      </c>
      <c r="Q73" s="84">
        <f t="shared" si="169"/>
        <v>1</v>
      </c>
      <c r="R73" s="84">
        <f t="shared" si="170"/>
        <v>333.70000000000005</v>
      </c>
      <c r="S73" s="84">
        <f>HDTL60474!K12</f>
        <v>603.6</v>
      </c>
      <c r="T73" s="84">
        <f>HDTL60474!J12</f>
        <v>606.4</v>
      </c>
      <c r="U73" s="84">
        <f>'[1]April-18'!U19</f>
        <v>1</v>
      </c>
      <c r="V73" s="84">
        <f t="shared" si="171"/>
        <v>2.7999999999999545</v>
      </c>
      <c r="W73" s="85">
        <f t="shared" si="18"/>
        <v>6.5555555555556574E-2</v>
      </c>
      <c r="X73" s="86" t="s">
        <v>250</v>
      </c>
      <c r="Y73" s="82" t="str">
        <f>HDTL60474!B12</f>
        <v>01.12.2019</v>
      </c>
    </row>
    <row r="74" spans="1:25" s="40" customFormat="1" ht="39.950000000000003" customHeight="1" x14ac:dyDescent="0.25">
      <c r="A74" s="49">
        <v>6</v>
      </c>
      <c r="B74" s="50" t="s">
        <v>43</v>
      </c>
      <c r="C74" s="56" t="str">
        <f t="shared" si="163"/>
        <v>HDKOTE/1714</v>
      </c>
      <c r="D74" s="51" t="s">
        <v>177</v>
      </c>
      <c r="E74" s="55" t="str">
        <f t="shared" si="164"/>
        <v>HDTL60474</v>
      </c>
      <c r="F74" s="50">
        <f t="shared" si="165"/>
        <v>2</v>
      </c>
      <c r="G74" s="49" t="s">
        <v>221</v>
      </c>
      <c r="H74" s="64" t="s">
        <v>222</v>
      </c>
      <c r="I74" s="49">
        <f t="shared" si="166"/>
        <v>3</v>
      </c>
      <c r="J74" s="49" t="str">
        <f t="shared" si="167"/>
        <v>LT 3</v>
      </c>
      <c r="K74" s="84">
        <f>HDTL60474!Q13</f>
        <v>1763.4</v>
      </c>
      <c r="L74" s="84">
        <f>HDTL60474!P13</f>
        <v>1919</v>
      </c>
      <c r="M74" s="84">
        <f>'[1]April-18'!M20</f>
        <v>1</v>
      </c>
      <c r="N74" s="84">
        <f t="shared" ref="N74:N75" si="172">(L74-K74)*M74</f>
        <v>155.59999999999991</v>
      </c>
      <c r="O74" s="84">
        <f>HDTL60474!F13</f>
        <v>1772.7</v>
      </c>
      <c r="P74" s="84">
        <f>HDTL60474!E13</f>
        <v>2042</v>
      </c>
      <c r="Q74" s="84">
        <f t="shared" si="169"/>
        <v>1</v>
      </c>
      <c r="R74" s="84">
        <f t="shared" ref="R74:R75" si="173">(P74-O74)*Q74</f>
        <v>269.29999999999995</v>
      </c>
      <c r="S74" s="84">
        <f>HDTL60474!K13</f>
        <v>606.4</v>
      </c>
      <c r="T74" s="84">
        <f>HDTL60474!J13</f>
        <v>705</v>
      </c>
      <c r="U74" s="84">
        <f>'[1]April-18'!U20</f>
        <v>1</v>
      </c>
      <c r="V74" s="84">
        <f t="shared" ref="V74:V75" si="174">(T74-S74)*U74</f>
        <v>98.600000000000023</v>
      </c>
      <c r="W74" s="85">
        <f t="shared" ref="W74:W75" si="175">N74/30/I74</f>
        <v>1.728888888888888</v>
      </c>
      <c r="X74" s="86"/>
      <c r="Y74" s="82" t="str">
        <f>HDTL60474!B13</f>
        <v>01.01.2020</v>
      </c>
    </row>
    <row r="75" spans="1:25" s="40" customFormat="1" ht="39.950000000000003" customHeight="1" x14ac:dyDescent="0.25">
      <c r="A75" s="49">
        <v>7</v>
      </c>
      <c r="B75" s="50" t="s">
        <v>43</v>
      </c>
      <c r="C75" s="56" t="str">
        <f t="shared" si="163"/>
        <v>HDKOTE/1714</v>
      </c>
      <c r="D75" s="51" t="s">
        <v>177</v>
      </c>
      <c r="E75" s="55" t="str">
        <f t="shared" si="164"/>
        <v>HDTL60474</v>
      </c>
      <c r="F75" s="50">
        <f t="shared" si="165"/>
        <v>2</v>
      </c>
      <c r="G75" s="49" t="s">
        <v>221</v>
      </c>
      <c r="H75" s="64" t="s">
        <v>222</v>
      </c>
      <c r="I75" s="49">
        <f t="shared" si="166"/>
        <v>3</v>
      </c>
      <c r="J75" s="49" t="str">
        <f t="shared" si="167"/>
        <v>LT 3</v>
      </c>
      <c r="K75" s="84">
        <f>HDTL60474!Q14</f>
        <v>1919</v>
      </c>
      <c r="L75" s="84">
        <f>HDTL60474!P14</f>
        <v>2051.8000000000002</v>
      </c>
      <c r="M75" s="84">
        <f>'[1]April-18'!M21</f>
        <v>1</v>
      </c>
      <c r="N75" s="84">
        <f t="shared" si="172"/>
        <v>132.80000000000018</v>
      </c>
      <c r="O75" s="84">
        <f>HDTL60474!F14</f>
        <v>2042</v>
      </c>
      <c r="P75" s="84">
        <f>HDTL60474!E14</f>
        <v>2338.4</v>
      </c>
      <c r="Q75" s="84">
        <f t="shared" si="169"/>
        <v>1</v>
      </c>
      <c r="R75" s="84">
        <f t="shared" si="173"/>
        <v>296.40000000000009</v>
      </c>
      <c r="S75" s="84">
        <f>HDTL60474!K14</f>
        <v>705</v>
      </c>
      <c r="T75" s="84">
        <f>HDTL60474!J14</f>
        <v>787.6</v>
      </c>
      <c r="U75" s="84">
        <f>'[1]April-18'!U21</f>
        <v>1</v>
      </c>
      <c r="V75" s="84">
        <f t="shared" si="174"/>
        <v>82.600000000000023</v>
      </c>
      <c r="W75" s="85">
        <f t="shared" si="175"/>
        <v>1.4755555555555577</v>
      </c>
      <c r="X75" s="86"/>
      <c r="Y75" s="82" t="s">
        <v>253</v>
      </c>
    </row>
    <row r="76" spans="1:25" s="40" customFormat="1" ht="39.950000000000003" customHeight="1" x14ac:dyDescent="0.25">
      <c r="A76" s="49">
        <v>1</v>
      </c>
      <c r="B76" s="50" t="s">
        <v>43</v>
      </c>
      <c r="C76" s="56" t="s">
        <v>229</v>
      </c>
      <c r="D76" s="51" t="s">
        <v>176</v>
      </c>
      <c r="E76" s="55" t="s">
        <v>173</v>
      </c>
      <c r="F76" s="50">
        <v>2.82</v>
      </c>
      <c r="G76" s="49" t="s">
        <v>221</v>
      </c>
      <c r="H76" s="64" t="s">
        <v>222</v>
      </c>
      <c r="I76" s="49">
        <v>3</v>
      </c>
      <c r="J76" s="49" t="s">
        <v>224</v>
      </c>
      <c r="K76" s="84">
        <f>'HKL2180'!Q8</f>
        <v>2599.6999999999998</v>
      </c>
      <c r="L76" s="84">
        <f>'HKL2180'!P8</f>
        <v>2850.5</v>
      </c>
      <c r="M76" s="84">
        <f>'[1]April-18'!M16</f>
        <v>1</v>
      </c>
      <c r="N76" s="84">
        <f t="shared" si="0"/>
        <v>250.80000000000018</v>
      </c>
      <c r="O76" s="84">
        <f>'HKL2180'!F8</f>
        <v>156.5</v>
      </c>
      <c r="P76" s="84">
        <f>'HKL2180'!E8</f>
        <v>314.39999999999998</v>
      </c>
      <c r="Q76" s="84">
        <v>1</v>
      </c>
      <c r="R76" s="84">
        <f t="shared" si="16"/>
        <v>157.89999999999998</v>
      </c>
      <c r="S76" s="84">
        <f>'HKL2180'!K8</f>
        <v>126.1</v>
      </c>
      <c r="T76" s="84">
        <f>'HKL2180'!J8</f>
        <v>241.2</v>
      </c>
      <c r="U76" s="84">
        <f>'[1]April-18'!U16</f>
        <v>1</v>
      </c>
      <c r="V76" s="84">
        <f t="shared" si="17"/>
        <v>115.1</v>
      </c>
      <c r="W76" s="85">
        <f t="shared" si="18"/>
        <v>2.7866666666666688</v>
      </c>
      <c r="X76" s="84"/>
      <c r="Y76" s="82" t="str">
        <f>'HKL2180'!B8</f>
        <v>01.08.2019</v>
      </c>
    </row>
    <row r="77" spans="1:25" s="40" customFormat="1" ht="39.950000000000003" customHeight="1" x14ac:dyDescent="0.25">
      <c r="A77" s="49">
        <v>2</v>
      </c>
      <c r="B77" s="50" t="str">
        <f>B76</f>
        <v>H D Kote</v>
      </c>
      <c r="C77" s="50" t="str">
        <f t="shared" ref="C77:J78" si="176">C76</f>
        <v>HDKOTE/1714</v>
      </c>
      <c r="D77" s="50" t="str">
        <f t="shared" si="176"/>
        <v>AGRICULTURE OFFICE</v>
      </c>
      <c r="E77" s="50" t="str">
        <f t="shared" si="176"/>
        <v>HKL2180</v>
      </c>
      <c r="F77" s="50">
        <f t="shared" si="176"/>
        <v>2.82</v>
      </c>
      <c r="G77" s="50" t="str">
        <f t="shared" si="176"/>
        <v>GOVT</v>
      </c>
      <c r="H77" s="50" t="str">
        <f t="shared" si="176"/>
        <v>IPDS</v>
      </c>
      <c r="I77" s="50">
        <f t="shared" si="176"/>
        <v>3</v>
      </c>
      <c r="J77" s="50" t="str">
        <f t="shared" si="176"/>
        <v>LT 3</v>
      </c>
      <c r="K77" s="84">
        <f>'HKL2180'!Q9</f>
        <v>2850.5</v>
      </c>
      <c r="L77" s="84">
        <f>'HKL2180'!P9</f>
        <v>3063.7</v>
      </c>
      <c r="M77" s="84">
        <f>'[1]April-18'!M17</f>
        <v>1</v>
      </c>
      <c r="N77" s="84">
        <f t="shared" ref="N77" si="177">(L77-K77)*M77</f>
        <v>213.19999999999982</v>
      </c>
      <c r="O77" s="84">
        <f>'HKL2180'!F9</f>
        <v>314.39999999999998</v>
      </c>
      <c r="P77" s="84">
        <f>'HKL2180'!E9</f>
        <v>459</v>
      </c>
      <c r="Q77" s="84">
        <f>Q76</f>
        <v>1</v>
      </c>
      <c r="R77" s="84">
        <f t="shared" ref="R77" si="178">(P77-O77)*Q77</f>
        <v>144.60000000000002</v>
      </c>
      <c r="S77" s="84">
        <f>'HKL2180'!K9</f>
        <v>241.2</v>
      </c>
      <c r="T77" s="84">
        <f>'HKL2180'!J9</f>
        <v>342</v>
      </c>
      <c r="U77" s="84">
        <f>'[1]April-18'!U17</f>
        <v>1</v>
      </c>
      <c r="V77" s="84">
        <f t="shared" ref="V77" si="179">(T77-S77)*U77</f>
        <v>100.80000000000001</v>
      </c>
      <c r="W77" s="85">
        <f t="shared" si="18"/>
        <v>2.3688888888888866</v>
      </c>
      <c r="X77" s="84"/>
      <c r="Y77" s="82" t="str">
        <f>'HKL2180'!B9</f>
        <v>01.09.2019</v>
      </c>
    </row>
    <row r="78" spans="1:25" s="40" customFormat="1" ht="39.950000000000003" customHeight="1" x14ac:dyDescent="0.25">
      <c r="A78" s="49">
        <v>3</v>
      </c>
      <c r="B78" s="50" t="str">
        <f>B77</f>
        <v>H D Kote</v>
      </c>
      <c r="C78" s="50" t="str">
        <f t="shared" si="176"/>
        <v>HDKOTE/1714</v>
      </c>
      <c r="D78" s="50" t="str">
        <f t="shared" si="176"/>
        <v>AGRICULTURE OFFICE</v>
      </c>
      <c r="E78" s="50" t="str">
        <f t="shared" si="176"/>
        <v>HKL2180</v>
      </c>
      <c r="F78" s="50">
        <f t="shared" si="176"/>
        <v>2.82</v>
      </c>
      <c r="G78" s="50" t="str">
        <f t="shared" si="176"/>
        <v>GOVT</v>
      </c>
      <c r="H78" s="50" t="str">
        <f t="shared" si="176"/>
        <v>IPDS</v>
      </c>
      <c r="I78" s="50">
        <f t="shared" si="176"/>
        <v>3</v>
      </c>
      <c r="J78" s="50" t="str">
        <f t="shared" si="176"/>
        <v>LT 3</v>
      </c>
      <c r="K78" s="84">
        <f>'HKL2180'!Q10</f>
        <v>3063.7</v>
      </c>
      <c r="L78" s="84">
        <f>'HKL2180'!P10</f>
        <v>3267.4</v>
      </c>
      <c r="M78" s="84">
        <f>'[1]April-18'!M18</f>
        <v>1</v>
      </c>
      <c r="N78" s="84">
        <f t="shared" ref="N78" si="180">(L78-K78)*M78</f>
        <v>203.70000000000027</v>
      </c>
      <c r="O78" s="84">
        <f>'HKL2180'!F10</f>
        <v>459</v>
      </c>
      <c r="P78" s="84">
        <f>'HKL2180'!E10</f>
        <v>589.79999999999995</v>
      </c>
      <c r="Q78" s="84">
        <f>Q77</f>
        <v>1</v>
      </c>
      <c r="R78" s="84">
        <f t="shared" ref="R78" si="181">(P78-O78)*Q78</f>
        <v>130.79999999999995</v>
      </c>
      <c r="S78" s="84">
        <f>'HKL2180'!K10</f>
        <v>342</v>
      </c>
      <c r="T78" s="84">
        <f>'HKL2180'!J10</f>
        <v>482.9</v>
      </c>
      <c r="U78" s="84">
        <f>'[1]April-18'!U18</f>
        <v>1</v>
      </c>
      <c r="V78" s="84">
        <f t="shared" ref="V78" si="182">(T78-S78)*U78</f>
        <v>140.89999999999998</v>
      </c>
      <c r="W78" s="85">
        <f t="shared" si="18"/>
        <v>2.2633333333333363</v>
      </c>
      <c r="X78" s="84"/>
      <c r="Y78" s="82" t="str">
        <f>'HKL2180'!B10</f>
        <v>01.10.2019</v>
      </c>
    </row>
    <row r="79" spans="1:25" s="40" customFormat="1" ht="39.950000000000003" customHeight="1" x14ac:dyDescent="0.25">
      <c r="A79" s="49">
        <v>4</v>
      </c>
      <c r="B79" s="50" t="str">
        <f t="shared" ref="B79:J82" si="183">B78</f>
        <v>H D Kote</v>
      </c>
      <c r="C79" s="50" t="str">
        <f t="shared" si="183"/>
        <v>HDKOTE/1714</v>
      </c>
      <c r="D79" s="50" t="str">
        <f t="shared" si="183"/>
        <v>AGRICULTURE OFFICE</v>
      </c>
      <c r="E79" s="50" t="str">
        <f t="shared" si="183"/>
        <v>HKL2180</v>
      </c>
      <c r="F79" s="50">
        <f t="shared" si="183"/>
        <v>2.82</v>
      </c>
      <c r="G79" s="50" t="str">
        <f t="shared" si="183"/>
        <v>GOVT</v>
      </c>
      <c r="H79" s="50" t="str">
        <f t="shared" si="183"/>
        <v>IPDS</v>
      </c>
      <c r="I79" s="50">
        <f t="shared" si="183"/>
        <v>3</v>
      </c>
      <c r="J79" s="50" t="str">
        <f t="shared" si="183"/>
        <v>LT 3</v>
      </c>
      <c r="K79" s="84">
        <f>'HKL2180'!Q11</f>
        <v>3267.4</v>
      </c>
      <c r="L79" s="84">
        <f>'HKL2180'!P11</f>
        <v>3600</v>
      </c>
      <c r="M79" s="84">
        <f>'[1]April-18'!M19</f>
        <v>1</v>
      </c>
      <c r="N79" s="84">
        <f t="shared" ref="N79:N80" si="184">(L79-K79)*M79</f>
        <v>332.59999999999991</v>
      </c>
      <c r="O79" s="84">
        <f>'HKL2180'!F11</f>
        <v>589.79999999999995</v>
      </c>
      <c r="P79" s="84">
        <f>'HKL2180'!E11</f>
        <v>720</v>
      </c>
      <c r="Q79" s="84">
        <f t="shared" ref="Q79:Q82" si="185">Q78</f>
        <v>1</v>
      </c>
      <c r="R79" s="84">
        <f t="shared" ref="R79:R80" si="186">(P79-O79)*Q79</f>
        <v>130.20000000000005</v>
      </c>
      <c r="S79" s="84">
        <f>'HKL2180'!K11</f>
        <v>482.9</v>
      </c>
      <c r="T79" s="84">
        <f>'HKL2180'!J11</f>
        <v>627</v>
      </c>
      <c r="U79" s="84">
        <f>'[1]April-18'!U19</f>
        <v>1</v>
      </c>
      <c r="V79" s="84">
        <f t="shared" ref="V79:V80" si="187">(T79-S79)*U79</f>
        <v>144.10000000000002</v>
      </c>
      <c r="W79" s="85">
        <f t="shared" si="18"/>
        <v>3.6955555555555546</v>
      </c>
      <c r="X79" s="84"/>
      <c r="Y79" s="82" t="str">
        <f>'HKL2180'!B11</f>
        <v>01.11.2019</v>
      </c>
    </row>
    <row r="80" spans="1:25" s="40" customFormat="1" ht="39.950000000000003" customHeight="1" x14ac:dyDescent="0.25">
      <c r="A80" s="49">
        <v>5</v>
      </c>
      <c r="B80" s="50" t="str">
        <f t="shared" si="183"/>
        <v>H D Kote</v>
      </c>
      <c r="C80" s="50" t="str">
        <f t="shared" si="183"/>
        <v>HDKOTE/1714</v>
      </c>
      <c r="D80" s="50" t="str">
        <f t="shared" si="183"/>
        <v>AGRICULTURE OFFICE</v>
      </c>
      <c r="E80" s="50" t="str">
        <f t="shared" si="183"/>
        <v>HKL2180</v>
      </c>
      <c r="F80" s="50">
        <f t="shared" si="183"/>
        <v>2.82</v>
      </c>
      <c r="G80" s="50" t="str">
        <f t="shared" si="183"/>
        <v>GOVT</v>
      </c>
      <c r="H80" s="50" t="str">
        <f t="shared" si="183"/>
        <v>IPDS</v>
      </c>
      <c r="I80" s="50">
        <f t="shared" si="183"/>
        <v>3</v>
      </c>
      <c r="J80" s="50" t="str">
        <f t="shared" si="183"/>
        <v>LT 3</v>
      </c>
      <c r="K80" s="84">
        <f>'HKL2180'!Q12</f>
        <v>3600</v>
      </c>
      <c r="L80" s="84">
        <f>'HKL2180'!P12</f>
        <v>3878.6</v>
      </c>
      <c r="M80" s="84">
        <f>'[1]April-18'!M20</f>
        <v>1</v>
      </c>
      <c r="N80" s="84">
        <f t="shared" si="184"/>
        <v>278.59999999999991</v>
      </c>
      <c r="O80" s="84">
        <f>'HKL2180'!F12</f>
        <v>720</v>
      </c>
      <c r="P80" s="84">
        <f>'HKL2180'!E12</f>
        <v>846</v>
      </c>
      <c r="Q80" s="84">
        <f t="shared" si="185"/>
        <v>1</v>
      </c>
      <c r="R80" s="84">
        <f t="shared" si="186"/>
        <v>126</v>
      </c>
      <c r="S80" s="84">
        <f>'HKL2180'!K12</f>
        <v>627</v>
      </c>
      <c r="T80" s="84">
        <f>'HKL2180'!J12</f>
        <v>747</v>
      </c>
      <c r="U80" s="84">
        <f>'[1]April-18'!U20</f>
        <v>1</v>
      </c>
      <c r="V80" s="84">
        <f t="shared" si="187"/>
        <v>120</v>
      </c>
      <c r="W80" s="85">
        <f t="shared" si="18"/>
        <v>3.0955555555555545</v>
      </c>
      <c r="X80" s="84"/>
      <c r="Y80" s="82" t="str">
        <f>'HKL2180'!B12</f>
        <v>01.12.2019</v>
      </c>
    </row>
    <row r="81" spans="1:25" s="40" customFormat="1" ht="39.950000000000003" customHeight="1" x14ac:dyDescent="0.25">
      <c r="A81" s="49">
        <v>6</v>
      </c>
      <c r="B81" s="50" t="str">
        <f t="shared" si="183"/>
        <v>H D Kote</v>
      </c>
      <c r="C81" s="50" t="str">
        <f t="shared" si="183"/>
        <v>HDKOTE/1714</v>
      </c>
      <c r="D81" s="50" t="str">
        <f t="shared" si="183"/>
        <v>AGRICULTURE OFFICE</v>
      </c>
      <c r="E81" s="50" t="str">
        <f t="shared" si="183"/>
        <v>HKL2180</v>
      </c>
      <c r="F81" s="50">
        <f t="shared" si="183"/>
        <v>2.82</v>
      </c>
      <c r="G81" s="50" t="str">
        <f t="shared" si="183"/>
        <v>GOVT</v>
      </c>
      <c r="H81" s="50" t="str">
        <f t="shared" si="183"/>
        <v>IPDS</v>
      </c>
      <c r="I81" s="50">
        <f t="shared" si="183"/>
        <v>3</v>
      </c>
      <c r="J81" s="50" t="str">
        <f t="shared" si="183"/>
        <v>LT 3</v>
      </c>
      <c r="K81" s="84">
        <f>'HKL2180'!Q13</f>
        <v>3878.6</v>
      </c>
      <c r="L81" s="84">
        <f>'HKL2180'!P13</f>
        <v>4160</v>
      </c>
      <c r="M81" s="84">
        <f>'[1]April-18'!M21</f>
        <v>1</v>
      </c>
      <c r="N81" s="84">
        <f t="shared" ref="N81:N82" si="188">(L81-K81)*M81</f>
        <v>281.40000000000009</v>
      </c>
      <c r="O81" s="84">
        <f>'HKL2180'!F13</f>
        <v>846</v>
      </c>
      <c r="P81" s="84">
        <f>'HKL2180'!E13</f>
        <v>965</v>
      </c>
      <c r="Q81" s="84">
        <f t="shared" si="185"/>
        <v>1</v>
      </c>
      <c r="R81" s="84">
        <f t="shared" ref="R81:R82" si="189">(P81-O81)*Q81</f>
        <v>119</v>
      </c>
      <c r="S81" s="84">
        <f>'HKL2180'!K13</f>
        <v>747</v>
      </c>
      <c r="T81" s="84">
        <f>'HKL2180'!J13</f>
        <v>891</v>
      </c>
      <c r="U81" s="84">
        <f>'[1]April-18'!U21</f>
        <v>1</v>
      </c>
      <c r="V81" s="84">
        <f t="shared" ref="V81:V82" si="190">(T81-S81)*U81</f>
        <v>144</v>
      </c>
      <c r="W81" s="85">
        <f t="shared" ref="W81:W82" si="191">N81/30/I81</f>
        <v>3.1266666666666674</v>
      </c>
      <c r="X81" s="84"/>
      <c r="Y81" s="82" t="str">
        <f>'HKL2180'!B13</f>
        <v>01.01.2020</v>
      </c>
    </row>
    <row r="82" spans="1:25" s="40" customFormat="1" ht="39.950000000000003" customHeight="1" x14ac:dyDescent="0.25">
      <c r="A82" s="49">
        <v>7</v>
      </c>
      <c r="B82" s="50" t="str">
        <f t="shared" si="183"/>
        <v>H D Kote</v>
      </c>
      <c r="C82" s="50" t="str">
        <f t="shared" si="183"/>
        <v>HDKOTE/1714</v>
      </c>
      <c r="D82" s="50" t="str">
        <f t="shared" si="183"/>
        <v>AGRICULTURE OFFICE</v>
      </c>
      <c r="E82" s="50" t="str">
        <f t="shared" si="183"/>
        <v>HKL2180</v>
      </c>
      <c r="F82" s="50">
        <f t="shared" si="183"/>
        <v>2.82</v>
      </c>
      <c r="G82" s="50" t="str">
        <f t="shared" si="183"/>
        <v>GOVT</v>
      </c>
      <c r="H82" s="50" t="str">
        <f t="shared" si="183"/>
        <v>IPDS</v>
      </c>
      <c r="I82" s="50">
        <f t="shared" si="183"/>
        <v>3</v>
      </c>
      <c r="J82" s="50" t="str">
        <f t="shared" si="183"/>
        <v>LT 3</v>
      </c>
      <c r="K82" s="84">
        <f>'HKL2180'!Q14</f>
        <v>4160</v>
      </c>
      <c r="L82" s="84">
        <f>'HKL2180'!P14</f>
        <v>4493.8</v>
      </c>
      <c r="M82" s="84">
        <f>'[1]April-18'!M22</f>
        <v>1</v>
      </c>
      <c r="N82" s="84">
        <f t="shared" si="188"/>
        <v>333.80000000000018</v>
      </c>
      <c r="O82" s="84">
        <f>'HKL2180'!F14</f>
        <v>965</v>
      </c>
      <c r="P82" s="84">
        <f>'HKL2180'!E14</f>
        <v>1075</v>
      </c>
      <c r="Q82" s="84">
        <f t="shared" si="185"/>
        <v>1</v>
      </c>
      <c r="R82" s="84">
        <f t="shared" si="189"/>
        <v>110</v>
      </c>
      <c r="S82" s="84">
        <f>'HKL2180'!K14</f>
        <v>891</v>
      </c>
      <c r="T82" s="84">
        <f>'HKL2180'!J14</f>
        <v>1075</v>
      </c>
      <c r="U82" s="84">
        <f>'[1]April-18'!U22</f>
        <v>1</v>
      </c>
      <c r="V82" s="84">
        <f t="shared" si="190"/>
        <v>184</v>
      </c>
      <c r="W82" s="85">
        <f t="shared" si="191"/>
        <v>3.7088888888888909</v>
      </c>
      <c r="X82" s="84"/>
      <c r="Y82" s="82" t="s">
        <v>253</v>
      </c>
    </row>
    <row r="83" spans="1:25" s="40" customFormat="1" ht="39.950000000000003" customHeight="1" x14ac:dyDescent="0.25">
      <c r="A83" s="49">
        <v>1</v>
      </c>
      <c r="B83" s="50" t="s">
        <v>43</v>
      </c>
      <c r="C83" s="56" t="s">
        <v>229</v>
      </c>
      <c r="D83" s="51" t="s">
        <v>179</v>
      </c>
      <c r="E83" s="55" t="s">
        <v>180</v>
      </c>
      <c r="F83" s="50">
        <v>5</v>
      </c>
      <c r="G83" s="49" t="s">
        <v>221</v>
      </c>
      <c r="H83" s="64" t="s">
        <v>222</v>
      </c>
      <c r="I83" s="49">
        <v>3</v>
      </c>
      <c r="J83" s="49" t="s">
        <v>225</v>
      </c>
      <c r="K83" s="84">
        <f>HKAEH5!Q8</f>
        <v>142.9</v>
      </c>
      <c r="L83" s="84">
        <f>HKAEH5!P8</f>
        <v>371.8</v>
      </c>
      <c r="M83" s="84">
        <f>'[1]April-18'!M17</f>
        <v>1</v>
      </c>
      <c r="N83" s="84">
        <f t="shared" si="0"/>
        <v>228.9</v>
      </c>
      <c r="O83" s="84">
        <f>HKAEH5!F8</f>
        <v>262.8</v>
      </c>
      <c r="P83" s="84">
        <f>HKAEH5!E8</f>
        <v>597.6</v>
      </c>
      <c r="Q83" s="84">
        <v>1</v>
      </c>
      <c r="R83" s="84">
        <f t="shared" si="16"/>
        <v>334.8</v>
      </c>
      <c r="S83" s="84">
        <f>HKAEH5!K8</f>
        <v>80</v>
      </c>
      <c r="T83" s="84">
        <f>HKAEH5!J8</f>
        <v>181.6</v>
      </c>
      <c r="U83" s="84">
        <f>'[1]April-18'!U17</f>
        <v>1</v>
      </c>
      <c r="V83" s="84">
        <f t="shared" si="17"/>
        <v>101.6</v>
      </c>
      <c r="W83" s="85">
        <f t="shared" si="18"/>
        <v>2.5433333333333334</v>
      </c>
      <c r="X83" s="84"/>
      <c r="Y83" s="82" t="str">
        <f>HKAEH5!B8</f>
        <v>01.08.2019</v>
      </c>
    </row>
    <row r="84" spans="1:25" s="40" customFormat="1" ht="39.950000000000003" customHeight="1" x14ac:dyDescent="0.25">
      <c r="A84" s="49">
        <v>2</v>
      </c>
      <c r="B84" s="50" t="str">
        <f>B83</f>
        <v>H D Kote</v>
      </c>
      <c r="C84" s="50" t="str">
        <f t="shared" ref="C84:J85" si="192">C83</f>
        <v>HDKOTE/1714</v>
      </c>
      <c r="D84" s="50" t="str">
        <f t="shared" si="192"/>
        <v>DEVARAJ PRE-METRIC BOYS HOSTEL</v>
      </c>
      <c r="E84" s="50" t="str">
        <f t="shared" si="192"/>
        <v>HKAEH5</v>
      </c>
      <c r="F84" s="50">
        <f t="shared" si="192"/>
        <v>5</v>
      </c>
      <c r="G84" s="50" t="str">
        <f t="shared" si="192"/>
        <v>GOVT</v>
      </c>
      <c r="H84" s="50" t="str">
        <f t="shared" si="192"/>
        <v>IPDS</v>
      </c>
      <c r="I84" s="50">
        <f t="shared" si="192"/>
        <v>3</v>
      </c>
      <c r="J84" s="50" t="str">
        <f t="shared" si="192"/>
        <v>LT2</v>
      </c>
      <c r="K84" s="84">
        <f>HKAEH5!Q9</f>
        <v>371.8</v>
      </c>
      <c r="L84" s="84">
        <f>HKAEH5!P9</f>
        <v>560</v>
      </c>
      <c r="M84" s="84">
        <f>'[1]April-18'!M18</f>
        <v>1</v>
      </c>
      <c r="N84" s="84">
        <f t="shared" ref="N84" si="193">(L84-K84)*M84</f>
        <v>188.2</v>
      </c>
      <c r="O84" s="84">
        <f>HKAEH5!F9</f>
        <v>597.6</v>
      </c>
      <c r="P84" s="84">
        <f>HKAEH5!E9</f>
        <v>960</v>
      </c>
      <c r="Q84" s="84">
        <f>Q83</f>
        <v>1</v>
      </c>
      <c r="R84" s="84">
        <f t="shared" ref="R84" si="194">(P84-O84)*Q84</f>
        <v>362.4</v>
      </c>
      <c r="S84" s="84">
        <f>HKAEH5!K9</f>
        <v>181.6</v>
      </c>
      <c r="T84" s="84">
        <f>HKAEH5!J9</f>
        <v>273</v>
      </c>
      <c r="U84" s="84">
        <f>'[1]April-18'!U18</f>
        <v>1</v>
      </c>
      <c r="V84" s="84">
        <f t="shared" ref="V84" si="195">(T84-S84)*U84</f>
        <v>91.4</v>
      </c>
      <c r="W84" s="85">
        <f t="shared" si="18"/>
        <v>2.0911111111111107</v>
      </c>
      <c r="X84" s="84"/>
      <c r="Y84" s="82" t="str">
        <f>HKAEH5!B9</f>
        <v>01.09.2019</v>
      </c>
    </row>
    <row r="85" spans="1:25" s="40" customFormat="1" ht="39.950000000000003" customHeight="1" x14ac:dyDescent="0.25">
      <c r="A85" s="49">
        <v>3</v>
      </c>
      <c r="B85" s="50" t="str">
        <f>B84</f>
        <v>H D Kote</v>
      </c>
      <c r="C85" s="50" t="str">
        <f t="shared" si="192"/>
        <v>HDKOTE/1714</v>
      </c>
      <c r="D85" s="50" t="str">
        <f t="shared" si="192"/>
        <v>DEVARAJ PRE-METRIC BOYS HOSTEL</v>
      </c>
      <c r="E85" s="50" t="str">
        <f t="shared" si="192"/>
        <v>HKAEH5</v>
      </c>
      <c r="F85" s="50">
        <f t="shared" si="192"/>
        <v>5</v>
      </c>
      <c r="G85" s="50" t="str">
        <f t="shared" si="192"/>
        <v>GOVT</v>
      </c>
      <c r="H85" s="50" t="str">
        <f t="shared" si="192"/>
        <v>IPDS</v>
      </c>
      <c r="I85" s="50">
        <f t="shared" si="192"/>
        <v>3</v>
      </c>
      <c r="J85" s="50" t="str">
        <f t="shared" si="192"/>
        <v>LT2</v>
      </c>
      <c r="K85" s="84">
        <f>HKAEH5!Q10</f>
        <v>560</v>
      </c>
      <c r="L85" s="84">
        <f>HKAEH5!P10</f>
        <v>780.2</v>
      </c>
      <c r="M85" s="84">
        <f>'[1]April-18'!M19</f>
        <v>1</v>
      </c>
      <c r="N85" s="84">
        <f t="shared" ref="N85" si="196">(L85-K85)*M85</f>
        <v>220.20000000000005</v>
      </c>
      <c r="O85" s="84">
        <f>HKAEH5!F10</f>
        <v>960</v>
      </c>
      <c r="P85" s="84">
        <f>HKAEH5!E10</f>
        <v>1325.8</v>
      </c>
      <c r="Q85" s="84">
        <f>Q84</f>
        <v>1</v>
      </c>
      <c r="R85" s="84">
        <f t="shared" ref="R85" si="197">(P85-O85)*Q85</f>
        <v>365.79999999999995</v>
      </c>
      <c r="S85" s="84">
        <f>HKAEH5!K10</f>
        <v>273</v>
      </c>
      <c r="T85" s="84">
        <f>HKAEH5!J10</f>
        <v>378.1</v>
      </c>
      <c r="U85" s="84">
        <f>'[1]April-18'!U19</f>
        <v>1</v>
      </c>
      <c r="V85" s="84">
        <f t="shared" ref="V85" si="198">(T85-S85)*U85</f>
        <v>105.10000000000002</v>
      </c>
      <c r="W85" s="85">
        <f t="shared" si="18"/>
        <v>2.4466666666666672</v>
      </c>
      <c r="X85" s="84"/>
      <c r="Y85" s="82" t="str">
        <f>HKAEH5!B10</f>
        <v>01.10.2019</v>
      </c>
    </row>
    <row r="86" spans="1:25" s="40" customFormat="1" ht="39.950000000000003" customHeight="1" x14ac:dyDescent="0.25">
      <c r="A86" s="49">
        <v>4</v>
      </c>
      <c r="B86" s="50" t="str">
        <f t="shared" ref="B86:J89" si="199">B85</f>
        <v>H D Kote</v>
      </c>
      <c r="C86" s="50" t="str">
        <f t="shared" si="199"/>
        <v>HDKOTE/1714</v>
      </c>
      <c r="D86" s="50" t="str">
        <f t="shared" si="199"/>
        <v>DEVARAJ PRE-METRIC BOYS HOSTEL</v>
      </c>
      <c r="E86" s="50" t="str">
        <f t="shared" si="199"/>
        <v>HKAEH5</v>
      </c>
      <c r="F86" s="50">
        <f t="shared" si="199"/>
        <v>5</v>
      </c>
      <c r="G86" s="50" t="str">
        <f t="shared" si="199"/>
        <v>GOVT</v>
      </c>
      <c r="H86" s="50" t="str">
        <f t="shared" si="199"/>
        <v>IPDS</v>
      </c>
      <c r="I86" s="50">
        <f t="shared" si="199"/>
        <v>3</v>
      </c>
      <c r="J86" s="50" t="str">
        <f t="shared" si="199"/>
        <v>LT2</v>
      </c>
      <c r="K86" s="84">
        <f>HKAEH5!Q11</f>
        <v>780.2</v>
      </c>
      <c r="L86" s="84">
        <f>HKAEH5!P11</f>
        <v>1002.8</v>
      </c>
      <c r="M86" s="84">
        <f>'[1]April-18'!M20</f>
        <v>1</v>
      </c>
      <c r="N86" s="84">
        <f t="shared" ref="N86:N87" si="200">(L86-K86)*M86</f>
        <v>222.59999999999991</v>
      </c>
      <c r="O86" s="84">
        <f>HKAEH5!F11</f>
        <v>1325.8</v>
      </c>
      <c r="P86" s="84">
        <f>HKAEH5!E11</f>
        <v>1535.8</v>
      </c>
      <c r="Q86" s="84">
        <f t="shared" ref="Q86:Q89" si="201">Q85</f>
        <v>1</v>
      </c>
      <c r="R86" s="84">
        <f t="shared" ref="R86:R87" si="202">(P86-O86)*Q86</f>
        <v>210</v>
      </c>
      <c r="S86" s="84">
        <f>HKAEH5!K11</f>
        <v>378.1</v>
      </c>
      <c r="T86" s="84">
        <f>HKAEH5!J11</f>
        <v>498.6</v>
      </c>
      <c r="U86" s="84">
        <f>'[1]April-18'!U20</f>
        <v>1</v>
      </c>
      <c r="V86" s="84">
        <f t="shared" ref="V86:V87" si="203">(T86-S86)*U86</f>
        <v>120.5</v>
      </c>
      <c r="W86" s="85">
        <f t="shared" si="18"/>
        <v>2.4733333333333323</v>
      </c>
      <c r="X86" s="84"/>
      <c r="Y86" s="82" t="str">
        <f>HKAEH5!B11</f>
        <v>01.11.2019</v>
      </c>
    </row>
    <row r="87" spans="1:25" s="40" customFormat="1" ht="39.950000000000003" customHeight="1" x14ac:dyDescent="0.25">
      <c r="A87" s="49">
        <v>5</v>
      </c>
      <c r="B87" s="50" t="str">
        <f t="shared" si="199"/>
        <v>H D Kote</v>
      </c>
      <c r="C87" s="50" t="str">
        <f t="shared" si="199"/>
        <v>HDKOTE/1714</v>
      </c>
      <c r="D87" s="50" t="str">
        <f t="shared" si="199"/>
        <v>DEVARAJ PRE-METRIC BOYS HOSTEL</v>
      </c>
      <c r="E87" s="50" t="str">
        <f t="shared" si="199"/>
        <v>HKAEH5</v>
      </c>
      <c r="F87" s="50">
        <f t="shared" si="199"/>
        <v>5</v>
      </c>
      <c r="G87" s="50" t="str">
        <f t="shared" si="199"/>
        <v>GOVT</v>
      </c>
      <c r="H87" s="50" t="str">
        <f t="shared" si="199"/>
        <v>IPDS</v>
      </c>
      <c r="I87" s="50">
        <f t="shared" si="199"/>
        <v>3</v>
      </c>
      <c r="J87" s="50" t="str">
        <f t="shared" si="199"/>
        <v>LT2</v>
      </c>
      <c r="K87" s="84">
        <f>HKAEH5!Q12</f>
        <v>1002.8</v>
      </c>
      <c r="L87" s="84">
        <f>HKAEH5!P12</f>
        <v>1262.0999999999999</v>
      </c>
      <c r="M87" s="84">
        <f>'[1]April-18'!M21</f>
        <v>1</v>
      </c>
      <c r="N87" s="84">
        <f t="shared" si="200"/>
        <v>259.29999999999995</v>
      </c>
      <c r="O87" s="84">
        <f>HKAEH5!F12</f>
        <v>1535.8</v>
      </c>
      <c r="P87" s="84">
        <f>HKAEH5!E12</f>
        <v>1879.9</v>
      </c>
      <c r="Q87" s="84">
        <f t="shared" si="201"/>
        <v>1</v>
      </c>
      <c r="R87" s="84">
        <f t="shared" si="202"/>
        <v>344.10000000000014</v>
      </c>
      <c r="S87" s="84">
        <f>HKAEH5!K12</f>
        <v>498.6</v>
      </c>
      <c r="T87" s="84">
        <f>HKAEH5!J12</f>
        <v>629.4</v>
      </c>
      <c r="U87" s="84">
        <f>'[1]April-18'!U21</f>
        <v>1</v>
      </c>
      <c r="V87" s="84">
        <f t="shared" si="203"/>
        <v>130.79999999999995</v>
      </c>
      <c r="W87" s="85">
        <f t="shared" si="18"/>
        <v>2.8811111111111107</v>
      </c>
      <c r="X87" s="84"/>
      <c r="Y87" s="82" t="str">
        <f>HKAEH5!B12</f>
        <v>01.12.2019</v>
      </c>
    </row>
    <row r="88" spans="1:25" s="40" customFormat="1" ht="39.950000000000003" customHeight="1" x14ac:dyDescent="0.25">
      <c r="A88" s="49">
        <v>6</v>
      </c>
      <c r="B88" s="50" t="str">
        <f t="shared" si="199"/>
        <v>H D Kote</v>
      </c>
      <c r="C88" s="50" t="str">
        <f t="shared" si="199"/>
        <v>HDKOTE/1714</v>
      </c>
      <c r="D88" s="50" t="str">
        <f t="shared" si="199"/>
        <v>DEVARAJ PRE-METRIC BOYS HOSTEL</v>
      </c>
      <c r="E88" s="50" t="str">
        <f t="shared" si="199"/>
        <v>HKAEH5</v>
      </c>
      <c r="F88" s="50">
        <f t="shared" si="199"/>
        <v>5</v>
      </c>
      <c r="G88" s="50" t="str">
        <f t="shared" si="199"/>
        <v>GOVT</v>
      </c>
      <c r="H88" s="50" t="str">
        <f t="shared" si="199"/>
        <v>IPDS</v>
      </c>
      <c r="I88" s="50">
        <f t="shared" si="199"/>
        <v>3</v>
      </c>
      <c r="J88" s="50" t="str">
        <f t="shared" si="199"/>
        <v>LT2</v>
      </c>
      <c r="K88" s="84">
        <f>HKAEH5!Q13</f>
        <v>1262.0999999999999</v>
      </c>
      <c r="L88" s="84">
        <f>HKAEH5!P13</f>
        <v>1523</v>
      </c>
      <c r="M88" s="84">
        <f>'[1]April-18'!M22</f>
        <v>1</v>
      </c>
      <c r="N88" s="84">
        <f t="shared" ref="N88:N89" si="204">(L88-K88)*M88</f>
        <v>260.90000000000009</v>
      </c>
      <c r="O88" s="84">
        <f>HKAEH5!F13</f>
        <v>1879.9</v>
      </c>
      <c r="P88" s="84">
        <f>HKAEH5!E13</f>
        <v>2252</v>
      </c>
      <c r="Q88" s="84">
        <f t="shared" si="201"/>
        <v>1</v>
      </c>
      <c r="R88" s="84">
        <f t="shared" ref="R88:R89" si="205">(P88-O88)*Q88</f>
        <v>372.09999999999991</v>
      </c>
      <c r="S88" s="84">
        <f>HKAEH5!K13</f>
        <v>629.4</v>
      </c>
      <c r="T88" s="84">
        <f>HKAEH5!J13</f>
        <v>763</v>
      </c>
      <c r="U88" s="84">
        <f>'[1]April-18'!U22</f>
        <v>1</v>
      </c>
      <c r="V88" s="84">
        <f t="shared" ref="V88:V89" si="206">(T88-S88)*U88</f>
        <v>133.60000000000002</v>
      </c>
      <c r="W88" s="85">
        <f t="shared" ref="W88:W89" si="207">N88/30/I88</f>
        <v>2.8988888888888895</v>
      </c>
      <c r="X88" s="84"/>
      <c r="Y88" s="82" t="str">
        <f>HKAEH5!B13</f>
        <v>01.01.2020</v>
      </c>
    </row>
    <row r="89" spans="1:25" s="40" customFormat="1" ht="39.950000000000003" customHeight="1" x14ac:dyDescent="0.25">
      <c r="A89" s="49">
        <v>7</v>
      </c>
      <c r="B89" s="50" t="str">
        <f t="shared" si="199"/>
        <v>H D Kote</v>
      </c>
      <c r="C89" s="50" t="str">
        <f t="shared" si="199"/>
        <v>HDKOTE/1714</v>
      </c>
      <c r="D89" s="50" t="str">
        <f t="shared" si="199"/>
        <v>DEVARAJ PRE-METRIC BOYS HOSTEL</v>
      </c>
      <c r="E89" s="50" t="str">
        <f t="shared" si="199"/>
        <v>HKAEH5</v>
      </c>
      <c r="F89" s="50">
        <f t="shared" si="199"/>
        <v>5</v>
      </c>
      <c r="G89" s="50" t="str">
        <f t="shared" si="199"/>
        <v>GOVT</v>
      </c>
      <c r="H89" s="50" t="str">
        <f t="shared" si="199"/>
        <v>IPDS</v>
      </c>
      <c r="I89" s="50">
        <f t="shared" si="199"/>
        <v>3</v>
      </c>
      <c r="J89" s="50" t="str">
        <f t="shared" si="199"/>
        <v>LT2</v>
      </c>
      <c r="K89" s="84">
        <f>HKAEH5!Q14</f>
        <v>1523</v>
      </c>
      <c r="L89" s="84">
        <f>HKAEH5!P14</f>
        <v>1844</v>
      </c>
      <c r="M89" s="84">
        <f>'[1]April-18'!M23</f>
        <v>1</v>
      </c>
      <c r="N89" s="84">
        <f t="shared" si="204"/>
        <v>321</v>
      </c>
      <c r="O89" s="84">
        <f>HKAEH5!F14</f>
        <v>2252</v>
      </c>
      <c r="P89" s="84">
        <f>HKAEH5!E14</f>
        <v>2709.8</v>
      </c>
      <c r="Q89" s="84">
        <f t="shared" si="201"/>
        <v>1</v>
      </c>
      <c r="R89" s="84">
        <f t="shared" si="205"/>
        <v>457.80000000000018</v>
      </c>
      <c r="S89" s="84">
        <f>HKAEH5!K14</f>
        <v>763</v>
      </c>
      <c r="T89" s="84">
        <f>HKAEH5!J14</f>
        <v>936.3</v>
      </c>
      <c r="U89" s="84">
        <f>'[1]April-18'!U23</f>
        <v>1</v>
      </c>
      <c r="V89" s="84">
        <f t="shared" si="206"/>
        <v>173.29999999999995</v>
      </c>
      <c r="W89" s="85">
        <f t="shared" si="207"/>
        <v>3.5666666666666664</v>
      </c>
      <c r="X89" s="84"/>
      <c r="Y89" s="82" t="s">
        <v>253</v>
      </c>
    </row>
    <row r="90" spans="1:25" s="40" customFormat="1" ht="39.950000000000003" customHeight="1" x14ac:dyDescent="0.25">
      <c r="A90" s="49">
        <v>1</v>
      </c>
      <c r="B90" s="50" t="s">
        <v>43</v>
      </c>
      <c r="C90" s="56" t="s">
        <v>229</v>
      </c>
      <c r="D90" s="59" t="s">
        <v>182</v>
      </c>
      <c r="E90" s="55" t="s">
        <v>186</v>
      </c>
      <c r="F90" s="50">
        <v>0.24</v>
      </c>
      <c r="G90" s="49" t="s">
        <v>221</v>
      </c>
      <c r="H90" s="64" t="s">
        <v>222</v>
      </c>
      <c r="I90" s="49">
        <v>3</v>
      </c>
      <c r="J90" s="49" t="s">
        <v>224</v>
      </c>
      <c r="K90" s="84">
        <f>'HKL891'!Q8</f>
        <v>29618.400000000001</v>
      </c>
      <c r="L90" s="84">
        <f>'HKL891'!P8</f>
        <v>29905</v>
      </c>
      <c r="M90" s="84">
        <f>'[1]April-18'!M18</f>
        <v>1</v>
      </c>
      <c r="N90" s="84">
        <f t="shared" si="0"/>
        <v>286.59999999999854</v>
      </c>
      <c r="O90" s="84">
        <f>'HKL891'!F8</f>
        <v>268.39999999999998</v>
      </c>
      <c r="P90" s="84">
        <f>'HKL891'!E8</f>
        <v>656.7</v>
      </c>
      <c r="Q90" s="84">
        <v>1</v>
      </c>
      <c r="R90" s="84">
        <f t="shared" si="16"/>
        <v>388.30000000000007</v>
      </c>
      <c r="S90" s="84">
        <f>'HKL891'!K8</f>
        <v>147.19999999999999</v>
      </c>
      <c r="T90" s="84">
        <f>'HKL891'!J8</f>
        <v>289.8</v>
      </c>
      <c r="U90" s="84">
        <f>'[1]April-18'!U18</f>
        <v>1</v>
      </c>
      <c r="V90" s="84">
        <f t="shared" si="17"/>
        <v>142.60000000000002</v>
      </c>
      <c r="W90" s="85">
        <f t="shared" si="18"/>
        <v>3.1844444444444284</v>
      </c>
      <c r="X90" s="84"/>
      <c r="Y90" s="82" t="str">
        <f>'HKL891'!B8</f>
        <v>01.08.2019</v>
      </c>
    </row>
    <row r="91" spans="1:25" s="40" customFormat="1" ht="39.950000000000003" customHeight="1" x14ac:dyDescent="0.25">
      <c r="A91" s="49">
        <v>2</v>
      </c>
      <c r="B91" s="50" t="str">
        <f>B90</f>
        <v>H D Kote</v>
      </c>
      <c r="C91" s="50" t="str">
        <f t="shared" ref="C91:J92" si="208">C90</f>
        <v>HDKOTE/1714</v>
      </c>
      <c r="D91" s="50" t="str">
        <f t="shared" si="208"/>
        <v>GOVT  PRE-METRIC GIRLS HOSTEL</v>
      </c>
      <c r="E91" s="50" t="str">
        <f t="shared" si="208"/>
        <v>HKL891</v>
      </c>
      <c r="F91" s="50">
        <f t="shared" si="208"/>
        <v>0.24</v>
      </c>
      <c r="G91" s="50" t="str">
        <f t="shared" si="208"/>
        <v>GOVT</v>
      </c>
      <c r="H91" s="50" t="str">
        <f t="shared" si="208"/>
        <v>IPDS</v>
      </c>
      <c r="I91" s="50">
        <f t="shared" si="208"/>
        <v>3</v>
      </c>
      <c r="J91" s="50" t="str">
        <f t="shared" si="208"/>
        <v>LT 3</v>
      </c>
      <c r="K91" s="84">
        <f>'HKL891'!Q9</f>
        <v>29905</v>
      </c>
      <c r="L91" s="84">
        <f>'HKL891'!P9</f>
        <v>30118</v>
      </c>
      <c r="M91" s="84">
        <f>'[1]April-18'!M19</f>
        <v>1</v>
      </c>
      <c r="N91" s="84">
        <f t="shared" ref="N91" si="209">(L91-K91)*M91</f>
        <v>213</v>
      </c>
      <c r="O91" s="84">
        <f>'HKL891'!F9</f>
        <v>656.7</v>
      </c>
      <c r="P91" s="84">
        <f>'HKL891'!E9</f>
        <v>1053.7</v>
      </c>
      <c r="Q91" s="84">
        <f>Q90</f>
        <v>1</v>
      </c>
      <c r="R91" s="84">
        <f t="shared" ref="R91" si="210">(P91-O91)*Q91</f>
        <v>397</v>
      </c>
      <c r="S91" s="84">
        <f>'HKL891'!K9</f>
        <v>289.8</v>
      </c>
      <c r="T91" s="84">
        <f>'HKL891'!J9</f>
        <v>397</v>
      </c>
      <c r="U91" s="84">
        <f>'[1]April-18'!U19</f>
        <v>1</v>
      </c>
      <c r="V91" s="84">
        <f t="shared" ref="V91" si="211">(T91-S91)*U91</f>
        <v>107.19999999999999</v>
      </c>
      <c r="W91" s="85">
        <f t="shared" si="18"/>
        <v>2.3666666666666667</v>
      </c>
      <c r="X91" s="84"/>
      <c r="Y91" s="82" t="str">
        <f>'HKL891'!B9</f>
        <v>01.09.2019</v>
      </c>
    </row>
    <row r="92" spans="1:25" s="40" customFormat="1" ht="39.950000000000003" customHeight="1" x14ac:dyDescent="0.25">
      <c r="A92" s="49">
        <v>3</v>
      </c>
      <c r="B92" s="50" t="str">
        <f>B91</f>
        <v>H D Kote</v>
      </c>
      <c r="C92" s="50" t="str">
        <f t="shared" si="208"/>
        <v>HDKOTE/1714</v>
      </c>
      <c r="D92" s="50" t="str">
        <f t="shared" si="208"/>
        <v>GOVT  PRE-METRIC GIRLS HOSTEL</v>
      </c>
      <c r="E92" s="50" t="str">
        <f t="shared" si="208"/>
        <v>HKL891</v>
      </c>
      <c r="F92" s="50">
        <f t="shared" si="208"/>
        <v>0.24</v>
      </c>
      <c r="G92" s="50" t="str">
        <f t="shared" si="208"/>
        <v>GOVT</v>
      </c>
      <c r="H92" s="50" t="str">
        <f t="shared" si="208"/>
        <v>IPDS</v>
      </c>
      <c r="I92" s="50">
        <f t="shared" si="208"/>
        <v>3</v>
      </c>
      <c r="J92" s="50" t="str">
        <f t="shared" si="208"/>
        <v>LT 3</v>
      </c>
      <c r="K92" s="84">
        <f>'HKL891'!Q10</f>
        <v>30118</v>
      </c>
      <c r="L92" s="84">
        <f>'HKL891'!P10</f>
        <v>30337</v>
      </c>
      <c r="M92" s="84">
        <f>'[1]April-18'!M20</f>
        <v>1</v>
      </c>
      <c r="N92" s="84">
        <f t="shared" ref="N92" si="212">(L92-K92)*M92</f>
        <v>219</v>
      </c>
      <c r="O92" s="84">
        <f>'HKL891'!F10</f>
        <v>1053.7</v>
      </c>
      <c r="P92" s="84">
        <f>'HKL891'!E10</f>
        <v>1421.5</v>
      </c>
      <c r="Q92" s="84">
        <f>Q91</f>
        <v>1</v>
      </c>
      <c r="R92" s="84">
        <f t="shared" ref="R92" si="213">(P92-O92)*Q92</f>
        <v>367.79999999999995</v>
      </c>
      <c r="S92" s="84">
        <f>'HKL891'!K10</f>
        <v>397</v>
      </c>
      <c r="T92" s="84">
        <f>'HKL891'!J10</f>
        <v>534.79999999999995</v>
      </c>
      <c r="U92" s="84">
        <f>'[1]April-18'!U20</f>
        <v>1</v>
      </c>
      <c r="V92" s="84">
        <f t="shared" ref="V92" si="214">(T92-S92)*U92</f>
        <v>137.79999999999995</v>
      </c>
      <c r="W92" s="85">
        <f t="shared" si="18"/>
        <v>2.4333333333333331</v>
      </c>
      <c r="X92" s="84"/>
      <c r="Y92" s="82" t="str">
        <f>'HKL891'!B10</f>
        <v>01.10.2019</v>
      </c>
    </row>
    <row r="93" spans="1:25" s="40" customFormat="1" ht="39.950000000000003" customHeight="1" x14ac:dyDescent="0.25">
      <c r="A93" s="49">
        <v>4</v>
      </c>
      <c r="B93" s="50" t="str">
        <f t="shared" ref="B93:J96" si="215">B92</f>
        <v>H D Kote</v>
      </c>
      <c r="C93" s="50" t="str">
        <f t="shared" si="215"/>
        <v>HDKOTE/1714</v>
      </c>
      <c r="D93" s="50" t="str">
        <f t="shared" si="215"/>
        <v>GOVT  PRE-METRIC GIRLS HOSTEL</v>
      </c>
      <c r="E93" s="50" t="str">
        <f t="shared" si="215"/>
        <v>HKL891</v>
      </c>
      <c r="F93" s="50">
        <f t="shared" si="215"/>
        <v>0.24</v>
      </c>
      <c r="G93" s="50" t="str">
        <f t="shared" si="215"/>
        <v>GOVT</v>
      </c>
      <c r="H93" s="50" t="str">
        <f t="shared" si="215"/>
        <v>IPDS</v>
      </c>
      <c r="I93" s="50">
        <f t="shared" si="215"/>
        <v>3</v>
      </c>
      <c r="J93" s="50" t="str">
        <f t="shared" si="215"/>
        <v>LT 3</v>
      </c>
      <c r="K93" s="84">
        <f>'HKL891'!Q11</f>
        <v>30337</v>
      </c>
      <c r="L93" s="84">
        <f>'HKL891'!P11</f>
        <v>30584</v>
      </c>
      <c r="M93" s="84">
        <f>'[1]April-18'!M21</f>
        <v>1</v>
      </c>
      <c r="N93" s="84">
        <f t="shared" ref="N93:N94" si="216">(L93-K93)*M93</f>
        <v>247</v>
      </c>
      <c r="O93" s="84">
        <f>'HKL891'!F11</f>
        <v>1421.5</v>
      </c>
      <c r="P93" s="84">
        <f>'HKL891'!E11</f>
        <v>1699.2</v>
      </c>
      <c r="Q93" s="84">
        <f t="shared" ref="Q93:Q96" si="217">Q92</f>
        <v>1</v>
      </c>
      <c r="R93" s="84">
        <f t="shared" ref="R93:R94" si="218">(P93-O93)*Q93</f>
        <v>277.70000000000005</v>
      </c>
      <c r="S93" s="84">
        <f>'HKL891'!K11</f>
        <v>534.79999999999995</v>
      </c>
      <c r="T93" s="84">
        <f>'HKL891'!J11</f>
        <v>705</v>
      </c>
      <c r="U93" s="84">
        <f>'[1]April-18'!U21</f>
        <v>1</v>
      </c>
      <c r="V93" s="84">
        <f t="shared" ref="V93:V94" si="219">(T93-S93)*U93</f>
        <v>170.20000000000005</v>
      </c>
      <c r="W93" s="85">
        <f t="shared" si="18"/>
        <v>2.744444444444444</v>
      </c>
      <c r="X93" s="84"/>
      <c r="Y93" s="82" t="str">
        <f>'HKL891'!B11</f>
        <v>01.11.2019</v>
      </c>
    </row>
    <row r="94" spans="1:25" s="40" customFormat="1" ht="39.950000000000003" customHeight="1" x14ac:dyDescent="0.25">
      <c r="A94" s="49">
        <v>5</v>
      </c>
      <c r="B94" s="50" t="str">
        <f t="shared" si="215"/>
        <v>H D Kote</v>
      </c>
      <c r="C94" s="50" t="str">
        <f t="shared" si="215"/>
        <v>HDKOTE/1714</v>
      </c>
      <c r="D94" s="50" t="str">
        <f t="shared" si="215"/>
        <v>GOVT  PRE-METRIC GIRLS HOSTEL</v>
      </c>
      <c r="E94" s="50" t="str">
        <f t="shared" si="215"/>
        <v>HKL891</v>
      </c>
      <c r="F94" s="50">
        <f t="shared" si="215"/>
        <v>0.24</v>
      </c>
      <c r="G94" s="50" t="str">
        <f t="shared" si="215"/>
        <v>GOVT</v>
      </c>
      <c r="H94" s="50" t="str">
        <f t="shared" si="215"/>
        <v>IPDS</v>
      </c>
      <c r="I94" s="50">
        <f t="shared" si="215"/>
        <v>3</v>
      </c>
      <c r="J94" s="50" t="str">
        <f t="shared" si="215"/>
        <v>LT 3</v>
      </c>
      <c r="K94" s="84">
        <f>'HKL891'!Q12</f>
        <v>30584</v>
      </c>
      <c r="L94" s="84">
        <f>'HKL891'!P12</f>
        <v>30734.7</v>
      </c>
      <c r="M94" s="84">
        <f>'[1]April-18'!M22</f>
        <v>1</v>
      </c>
      <c r="N94" s="84">
        <f t="shared" si="216"/>
        <v>150.70000000000073</v>
      </c>
      <c r="O94" s="84">
        <f>'HKL891'!F12</f>
        <v>1699.2</v>
      </c>
      <c r="P94" s="84">
        <f>'HKL891'!E12</f>
        <v>2060.6</v>
      </c>
      <c r="Q94" s="84">
        <f t="shared" si="217"/>
        <v>1</v>
      </c>
      <c r="R94" s="84">
        <f t="shared" si="218"/>
        <v>361.39999999999986</v>
      </c>
      <c r="S94" s="84">
        <f>'HKL891'!K12</f>
        <v>705</v>
      </c>
      <c r="T94" s="84">
        <f>'HKL891'!J12</f>
        <v>764.9</v>
      </c>
      <c r="U94" s="84">
        <f>'[1]April-18'!U22</f>
        <v>1</v>
      </c>
      <c r="V94" s="84">
        <f t="shared" si="219"/>
        <v>59.899999999999977</v>
      </c>
      <c r="W94" s="85">
        <f t="shared" si="18"/>
        <v>1.6744444444444524</v>
      </c>
      <c r="X94" s="84"/>
      <c r="Y94" s="82" t="str">
        <f>'HKL891'!B12</f>
        <v>01.12.2019</v>
      </c>
    </row>
    <row r="95" spans="1:25" s="40" customFormat="1" ht="39.950000000000003" customHeight="1" x14ac:dyDescent="0.25">
      <c r="A95" s="49">
        <v>6</v>
      </c>
      <c r="B95" s="50" t="str">
        <f t="shared" si="215"/>
        <v>H D Kote</v>
      </c>
      <c r="C95" s="50" t="str">
        <f t="shared" si="215"/>
        <v>HDKOTE/1714</v>
      </c>
      <c r="D95" s="50" t="str">
        <f t="shared" si="215"/>
        <v>GOVT  PRE-METRIC GIRLS HOSTEL</v>
      </c>
      <c r="E95" s="50" t="str">
        <f t="shared" si="215"/>
        <v>HKL891</v>
      </c>
      <c r="F95" s="50">
        <f t="shared" si="215"/>
        <v>0.24</v>
      </c>
      <c r="G95" s="50" t="str">
        <f t="shared" si="215"/>
        <v>GOVT</v>
      </c>
      <c r="H95" s="50" t="str">
        <f t="shared" si="215"/>
        <v>IPDS</v>
      </c>
      <c r="I95" s="50">
        <f t="shared" si="215"/>
        <v>3</v>
      </c>
      <c r="J95" s="50" t="str">
        <f t="shared" si="215"/>
        <v>LT 3</v>
      </c>
      <c r="K95" s="84">
        <f>'HKL891'!Q13</f>
        <v>30734.7</v>
      </c>
      <c r="L95" s="84">
        <f>'HKL891'!P13</f>
        <v>30789</v>
      </c>
      <c r="M95" s="84">
        <f>'[1]April-18'!M23</f>
        <v>1</v>
      </c>
      <c r="N95" s="84">
        <f t="shared" ref="N95:N96" si="220">(L95-K95)*M95</f>
        <v>54.299999999999272</v>
      </c>
      <c r="O95" s="84">
        <f>'HKL891'!F13</f>
        <v>2060.6</v>
      </c>
      <c r="P95" s="84">
        <f>'HKL891'!E13</f>
        <v>2466</v>
      </c>
      <c r="Q95" s="84">
        <f t="shared" si="217"/>
        <v>1</v>
      </c>
      <c r="R95" s="84">
        <f t="shared" ref="R95:R96" si="221">(P95-O95)*Q95</f>
        <v>405.40000000000009</v>
      </c>
      <c r="S95" s="84">
        <f>'HKL891'!K13</f>
        <v>764.9</v>
      </c>
      <c r="T95" s="84">
        <f>'HKL891'!J13</f>
        <v>779</v>
      </c>
      <c r="U95" s="84">
        <f>'[1]April-18'!U23</f>
        <v>1</v>
      </c>
      <c r="V95" s="84">
        <f t="shared" ref="V95:V96" si="222">(T95-S95)*U95</f>
        <v>14.100000000000023</v>
      </c>
      <c r="W95" s="85">
        <f t="shared" ref="W95:W96" si="223">N95/30/I95</f>
        <v>0.60333333333332528</v>
      </c>
      <c r="X95" s="84" t="s">
        <v>250</v>
      </c>
      <c r="Y95" s="82" t="str">
        <f>'HKL891'!B13</f>
        <v>01.01.2020</v>
      </c>
    </row>
    <row r="96" spans="1:25" s="40" customFormat="1" ht="39.950000000000003" customHeight="1" x14ac:dyDescent="0.25">
      <c r="A96" s="49">
        <v>7</v>
      </c>
      <c r="B96" s="50" t="str">
        <f t="shared" si="215"/>
        <v>H D Kote</v>
      </c>
      <c r="C96" s="50" t="str">
        <f t="shared" si="215"/>
        <v>HDKOTE/1714</v>
      </c>
      <c r="D96" s="50" t="str">
        <f t="shared" si="215"/>
        <v>GOVT  PRE-METRIC GIRLS HOSTEL</v>
      </c>
      <c r="E96" s="50" t="str">
        <f t="shared" si="215"/>
        <v>HKL891</v>
      </c>
      <c r="F96" s="50">
        <f t="shared" si="215"/>
        <v>0.24</v>
      </c>
      <c r="G96" s="50" t="str">
        <f t="shared" si="215"/>
        <v>GOVT</v>
      </c>
      <c r="H96" s="50" t="str">
        <f t="shared" si="215"/>
        <v>IPDS</v>
      </c>
      <c r="I96" s="50">
        <f t="shared" si="215"/>
        <v>3</v>
      </c>
      <c r="J96" s="50" t="str">
        <f t="shared" si="215"/>
        <v>LT 3</v>
      </c>
      <c r="K96" s="84">
        <f>'HKL891'!Q14</f>
        <v>30789</v>
      </c>
      <c r="L96" s="84">
        <f>'HKL891'!P14</f>
        <v>30790.7</v>
      </c>
      <c r="M96" s="84">
        <f>'[1]April-18'!M24</f>
        <v>1</v>
      </c>
      <c r="N96" s="84">
        <f t="shared" si="220"/>
        <v>1.7000000000007276</v>
      </c>
      <c r="O96" s="84">
        <f>'HKL891'!F14</f>
        <v>2466</v>
      </c>
      <c r="P96" s="84">
        <f>'HKL891'!E14</f>
        <v>2938.6</v>
      </c>
      <c r="Q96" s="84">
        <f t="shared" si="217"/>
        <v>1</v>
      </c>
      <c r="R96" s="84">
        <f t="shared" si="221"/>
        <v>472.59999999999991</v>
      </c>
      <c r="S96" s="84">
        <f>'HKL891'!K14</f>
        <v>779</v>
      </c>
      <c r="T96" s="84">
        <f>'HKL891'!J14</f>
        <v>779.5</v>
      </c>
      <c r="U96" s="84">
        <f>'[1]April-18'!U24</f>
        <v>1</v>
      </c>
      <c r="V96" s="84">
        <f t="shared" si="222"/>
        <v>0.5</v>
      </c>
      <c r="W96" s="85">
        <f t="shared" si="223"/>
        <v>1.8888888888896973E-2</v>
      </c>
      <c r="X96" s="84" t="s">
        <v>250</v>
      </c>
      <c r="Y96" s="82" t="s">
        <v>253</v>
      </c>
    </row>
    <row r="97" spans="1:25" s="40" customFormat="1" ht="39.950000000000003" customHeight="1" x14ac:dyDescent="0.25">
      <c r="A97" s="49">
        <v>1</v>
      </c>
      <c r="B97" s="50" t="s">
        <v>43</v>
      </c>
      <c r="C97" s="56" t="s">
        <v>229</v>
      </c>
      <c r="D97" s="59" t="s">
        <v>189</v>
      </c>
      <c r="E97" s="55" t="s">
        <v>187</v>
      </c>
      <c r="F97" s="50">
        <v>0.12</v>
      </c>
      <c r="G97" s="49" t="s">
        <v>221</v>
      </c>
      <c r="H97" s="64" t="s">
        <v>222</v>
      </c>
      <c r="I97" s="49">
        <v>3</v>
      </c>
      <c r="J97" s="49" t="s">
        <v>223</v>
      </c>
      <c r="K97" s="84">
        <f>'HKL1720'!Q8</f>
        <v>185.8</v>
      </c>
      <c r="L97" s="84">
        <f>'HKL1720'!P8</f>
        <v>439.2</v>
      </c>
      <c r="M97" s="84">
        <f>'[1]April-18'!M19</f>
        <v>1</v>
      </c>
      <c r="N97" s="84">
        <f t="shared" si="0"/>
        <v>253.39999999999998</v>
      </c>
      <c r="O97" s="84">
        <f>'HKL1720'!F8</f>
        <v>8.6</v>
      </c>
      <c r="P97" s="84">
        <f>'HKL1720'!E8</f>
        <v>21.3</v>
      </c>
      <c r="Q97" s="84">
        <v>1</v>
      </c>
      <c r="R97" s="84">
        <f t="shared" si="16"/>
        <v>12.700000000000001</v>
      </c>
      <c r="S97" s="84">
        <f>'HKL1720'!K8</f>
        <v>176.7</v>
      </c>
      <c r="T97" s="84">
        <f>'HKL1720'!J8</f>
        <v>411.9</v>
      </c>
      <c r="U97" s="84">
        <f>'[1]April-18'!U19</f>
        <v>1</v>
      </c>
      <c r="V97" s="84">
        <f t="shared" si="17"/>
        <v>235.2</v>
      </c>
      <c r="W97" s="85">
        <f t="shared" si="18"/>
        <v>2.8155555555555551</v>
      </c>
      <c r="X97" s="84"/>
      <c r="Y97" s="82" t="str">
        <f>'HKL1720'!B8</f>
        <v>01.08.2019</v>
      </c>
    </row>
    <row r="98" spans="1:25" s="40" customFormat="1" ht="39.950000000000003" customHeight="1" x14ac:dyDescent="0.25">
      <c r="A98" s="49">
        <v>2</v>
      </c>
      <c r="B98" s="50" t="str">
        <f>B97</f>
        <v>H D Kote</v>
      </c>
      <c r="C98" s="50" t="str">
        <f t="shared" ref="C98:J99" si="224">C97</f>
        <v>HDKOTE/1714</v>
      </c>
      <c r="D98" s="50" t="str">
        <f t="shared" si="224"/>
        <v>GOVT URDU PRIMARY SCHOOL</v>
      </c>
      <c r="E98" s="50" t="str">
        <f t="shared" si="224"/>
        <v>HKL1720</v>
      </c>
      <c r="F98" s="50">
        <f t="shared" si="224"/>
        <v>0.12</v>
      </c>
      <c r="G98" s="50" t="str">
        <f t="shared" si="224"/>
        <v>GOVT</v>
      </c>
      <c r="H98" s="50" t="str">
        <f t="shared" si="224"/>
        <v>IPDS</v>
      </c>
      <c r="I98" s="50">
        <f t="shared" si="224"/>
        <v>3</v>
      </c>
      <c r="J98" s="50" t="str">
        <f t="shared" si="224"/>
        <v>LT 2</v>
      </c>
      <c r="K98" s="84">
        <f>'HKL1720'!Q9</f>
        <v>439.2</v>
      </c>
      <c r="L98" s="84">
        <f>'HKL1720'!P9</f>
        <v>646.29999999999995</v>
      </c>
      <c r="M98" s="84">
        <f>'[1]April-18'!M20</f>
        <v>1</v>
      </c>
      <c r="N98" s="84">
        <f t="shared" ref="N98" si="225">(L98-K98)*M98</f>
        <v>207.09999999999997</v>
      </c>
      <c r="O98" s="84">
        <f>'HKL1720'!F9</f>
        <v>21.3</v>
      </c>
      <c r="P98" s="84">
        <f>'HKL1720'!E9</f>
        <v>35</v>
      </c>
      <c r="Q98" s="84">
        <f>Q97</f>
        <v>1</v>
      </c>
      <c r="R98" s="84">
        <f t="shared" ref="R98" si="226">(P98-O98)*Q98</f>
        <v>13.7</v>
      </c>
      <c r="S98" s="84">
        <f>'HKL1720'!K9</f>
        <v>411.9</v>
      </c>
      <c r="T98" s="84">
        <f>'HKL1720'!J9</f>
        <v>611</v>
      </c>
      <c r="U98" s="84">
        <f>'[1]April-18'!U20</f>
        <v>1</v>
      </c>
      <c r="V98" s="84">
        <f t="shared" ref="V98" si="227">(T98-S98)*U98</f>
        <v>199.10000000000002</v>
      </c>
      <c r="W98" s="85">
        <f t="shared" si="18"/>
        <v>2.3011111111111107</v>
      </c>
      <c r="X98" s="84"/>
      <c r="Y98" s="82" t="str">
        <f>'HKL1720'!B9</f>
        <v>01.09.2019</v>
      </c>
    </row>
    <row r="99" spans="1:25" s="40" customFormat="1" ht="39.950000000000003" customHeight="1" x14ac:dyDescent="0.25">
      <c r="A99" s="49">
        <v>3</v>
      </c>
      <c r="B99" s="50" t="str">
        <f>B98</f>
        <v>H D Kote</v>
      </c>
      <c r="C99" s="50" t="str">
        <f t="shared" si="224"/>
        <v>HDKOTE/1714</v>
      </c>
      <c r="D99" s="50" t="str">
        <f t="shared" si="224"/>
        <v>GOVT URDU PRIMARY SCHOOL</v>
      </c>
      <c r="E99" s="50" t="str">
        <f t="shared" si="224"/>
        <v>HKL1720</v>
      </c>
      <c r="F99" s="50">
        <f t="shared" si="224"/>
        <v>0.12</v>
      </c>
      <c r="G99" s="50" t="str">
        <f t="shared" si="224"/>
        <v>GOVT</v>
      </c>
      <c r="H99" s="50" t="str">
        <f t="shared" si="224"/>
        <v>IPDS</v>
      </c>
      <c r="I99" s="50">
        <f t="shared" si="224"/>
        <v>3</v>
      </c>
      <c r="J99" s="50" t="str">
        <f t="shared" si="224"/>
        <v>LT 2</v>
      </c>
      <c r="K99" s="84">
        <f>'HKL1720'!Q10</f>
        <v>646.29999999999995</v>
      </c>
      <c r="L99" s="84">
        <f>'HKL1720'!P10</f>
        <v>915</v>
      </c>
      <c r="M99" s="84">
        <f>'[1]April-18'!M21</f>
        <v>1</v>
      </c>
      <c r="N99" s="84">
        <f t="shared" ref="N99" si="228">(L99-K99)*M99</f>
        <v>268.70000000000005</v>
      </c>
      <c r="O99" s="84">
        <f>'HKL1720'!F10</f>
        <v>35</v>
      </c>
      <c r="P99" s="84">
        <f>'HKL1720'!E10</f>
        <v>48</v>
      </c>
      <c r="Q99" s="84">
        <f>Q98</f>
        <v>1</v>
      </c>
      <c r="R99" s="84">
        <f t="shared" ref="R99" si="229">(P99-O99)*Q99</f>
        <v>13</v>
      </c>
      <c r="S99" s="84">
        <f>'HKL1720'!K10</f>
        <v>611</v>
      </c>
      <c r="T99" s="84">
        <f>'HKL1720'!J10</f>
        <v>867</v>
      </c>
      <c r="U99" s="84">
        <f>'[1]April-18'!U21</f>
        <v>1</v>
      </c>
      <c r="V99" s="84">
        <f t="shared" ref="V99" si="230">(T99-S99)*U99</f>
        <v>256</v>
      </c>
      <c r="W99" s="85">
        <f t="shared" ref="W99:W136" si="231">N99/30/I99</f>
        <v>2.9855555555555564</v>
      </c>
      <c r="X99" s="84"/>
      <c r="Y99" s="82" t="str">
        <f>'HKL1720'!B10</f>
        <v>01.10.2019</v>
      </c>
    </row>
    <row r="100" spans="1:25" s="40" customFormat="1" ht="39.950000000000003" customHeight="1" x14ac:dyDescent="0.25">
      <c r="A100" s="49">
        <v>4</v>
      </c>
      <c r="B100" s="50" t="str">
        <f t="shared" ref="B100:J103" si="232">B99</f>
        <v>H D Kote</v>
      </c>
      <c r="C100" s="50" t="str">
        <f t="shared" si="232"/>
        <v>HDKOTE/1714</v>
      </c>
      <c r="D100" s="50" t="str">
        <f t="shared" si="232"/>
        <v>GOVT URDU PRIMARY SCHOOL</v>
      </c>
      <c r="E100" s="50" t="str">
        <f t="shared" si="232"/>
        <v>HKL1720</v>
      </c>
      <c r="F100" s="50">
        <f t="shared" si="232"/>
        <v>0.12</v>
      </c>
      <c r="G100" s="50" t="str">
        <f t="shared" si="232"/>
        <v>GOVT</v>
      </c>
      <c r="H100" s="50" t="str">
        <f t="shared" si="232"/>
        <v>IPDS</v>
      </c>
      <c r="I100" s="50">
        <f t="shared" si="232"/>
        <v>3</v>
      </c>
      <c r="J100" s="50" t="str">
        <f t="shared" si="232"/>
        <v>LT 2</v>
      </c>
      <c r="K100" s="84">
        <f>'HKL1720'!Q11</f>
        <v>915</v>
      </c>
      <c r="L100" s="84">
        <f>'HKL1720'!P11</f>
        <v>1154</v>
      </c>
      <c r="M100" s="84">
        <f>'[1]April-18'!M22</f>
        <v>1</v>
      </c>
      <c r="N100" s="84">
        <f t="shared" ref="N100:N101" si="233">(L100-K100)*M100</f>
        <v>239</v>
      </c>
      <c r="O100" s="84">
        <f>'HKL1720'!F11</f>
        <v>48</v>
      </c>
      <c r="P100" s="84">
        <f>'HKL1720'!E11</f>
        <v>64.8</v>
      </c>
      <c r="Q100" s="84">
        <f t="shared" ref="Q100:Q103" si="234">Q99</f>
        <v>1</v>
      </c>
      <c r="R100" s="84">
        <f t="shared" ref="R100:R101" si="235">(P100-O100)*Q100</f>
        <v>16.799999999999997</v>
      </c>
      <c r="S100" s="84">
        <f>'HKL1720'!K11</f>
        <v>867</v>
      </c>
      <c r="T100" s="84">
        <f>'HKL1720'!J11</f>
        <v>1093</v>
      </c>
      <c r="U100" s="84">
        <f>'[1]April-18'!U22</f>
        <v>1</v>
      </c>
      <c r="V100" s="84">
        <f t="shared" ref="V100:V101" si="236">(T100-S100)*U100</f>
        <v>226</v>
      </c>
      <c r="W100" s="85">
        <f t="shared" si="231"/>
        <v>2.6555555555555554</v>
      </c>
      <c r="X100" s="84"/>
      <c r="Y100" s="82" t="str">
        <f>'HKL1720'!B11</f>
        <v>01.11.2019</v>
      </c>
    </row>
    <row r="101" spans="1:25" s="40" customFormat="1" ht="39.950000000000003" customHeight="1" x14ac:dyDescent="0.25">
      <c r="A101" s="49">
        <v>5</v>
      </c>
      <c r="B101" s="50" t="str">
        <f t="shared" si="232"/>
        <v>H D Kote</v>
      </c>
      <c r="C101" s="50" t="str">
        <f t="shared" si="232"/>
        <v>HDKOTE/1714</v>
      </c>
      <c r="D101" s="50" t="str">
        <f t="shared" si="232"/>
        <v>GOVT URDU PRIMARY SCHOOL</v>
      </c>
      <c r="E101" s="50" t="str">
        <f t="shared" si="232"/>
        <v>HKL1720</v>
      </c>
      <c r="F101" s="50">
        <f t="shared" si="232"/>
        <v>0.12</v>
      </c>
      <c r="G101" s="50" t="str">
        <f t="shared" si="232"/>
        <v>GOVT</v>
      </c>
      <c r="H101" s="50" t="str">
        <f t="shared" si="232"/>
        <v>IPDS</v>
      </c>
      <c r="I101" s="50">
        <f t="shared" si="232"/>
        <v>3</v>
      </c>
      <c r="J101" s="50" t="str">
        <f t="shared" si="232"/>
        <v>LT 2</v>
      </c>
      <c r="K101" s="84">
        <f>'HKL1720'!Q12</f>
        <v>1154</v>
      </c>
      <c r="L101" s="84">
        <f>'HKL1720'!P12</f>
        <v>1345.3</v>
      </c>
      <c r="M101" s="84">
        <f>'[1]April-18'!M23</f>
        <v>1</v>
      </c>
      <c r="N101" s="84">
        <f t="shared" si="233"/>
        <v>191.29999999999995</v>
      </c>
      <c r="O101" s="84">
        <f>'HKL1720'!F12</f>
        <v>64.8</v>
      </c>
      <c r="P101" s="84">
        <f>'HKL1720'!E12</f>
        <v>72.3</v>
      </c>
      <c r="Q101" s="84">
        <f t="shared" si="234"/>
        <v>1</v>
      </c>
      <c r="R101" s="84">
        <f t="shared" si="235"/>
        <v>7.5</v>
      </c>
      <c r="S101" s="84">
        <f>'HKL1720'!K12</f>
        <v>1093</v>
      </c>
      <c r="T101" s="84">
        <f>'HKL1720'!J12</f>
        <v>1275.9000000000001</v>
      </c>
      <c r="U101" s="84">
        <f>'[1]April-18'!U23</f>
        <v>1</v>
      </c>
      <c r="V101" s="84">
        <f t="shared" si="236"/>
        <v>182.90000000000009</v>
      </c>
      <c r="W101" s="85">
        <f t="shared" si="231"/>
        <v>2.1255555555555552</v>
      </c>
      <c r="X101" s="84"/>
      <c r="Y101" s="82" t="str">
        <f>'HKL1720'!B12</f>
        <v>01.12.2019</v>
      </c>
    </row>
    <row r="102" spans="1:25" s="40" customFormat="1" ht="39.950000000000003" customHeight="1" x14ac:dyDescent="0.25">
      <c r="A102" s="49">
        <v>6</v>
      </c>
      <c r="B102" s="50" t="str">
        <f t="shared" si="232"/>
        <v>H D Kote</v>
      </c>
      <c r="C102" s="50" t="str">
        <f t="shared" si="232"/>
        <v>HDKOTE/1714</v>
      </c>
      <c r="D102" s="50" t="str">
        <f t="shared" si="232"/>
        <v>GOVT URDU PRIMARY SCHOOL</v>
      </c>
      <c r="E102" s="50" t="str">
        <f t="shared" si="232"/>
        <v>HKL1720</v>
      </c>
      <c r="F102" s="50">
        <f t="shared" si="232"/>
        <v>0.12</v>
      </c>
      <c r="G102" s="50" t="str">
        <f t="shared" si="232"/>
        <v>GOVT</v>
      </c>
      <c r="H102" s="50" t="str">
        <f t="shared" si="232"/>
        <v>IPDS</v>
      </c>
      <c r="I102" s="50">
        <f t="shared" si="232"/>
        <v>3</v>
      </c>
      <c r="J102" s="50" t="str">
        <f t="shared" si="232"/>
        <v>LT 2</v>
      </c>
      <c r="K102" s="84">
        <f>'HKL1720'!Q13</f>
        <v>1345.3</v>
      </c>
      <c r="L102" s="84">
        <f>'HKL1720'!P13</f>
        <v>1345.3</v>
      </c>
      <c r="M102" s="84">
        <f>M101</f>
        <v>1</v>
      </c>
      <c r="N102" s="84">
        <f t="shared" ref="N102:N103" si="237">(L102-K102)*M102</f>
        <v>0</v>
      </c>
      <c r="O102" s="84">
        <f>'HKL1720'!F13</f>
        <v>72.3</v>
      </c>
      <c r="P102" s="84">
        <f>'HKL1720'!E13</f>
        <v>73.2</v>
      </c>
      <c r="Q102" s="84">
        <f t="shared" si="234"/>
        <v>1</v>
      </c>
      <c r="R102" s="84">
        <f t="shared" ref="R102:R103" si="238">(P102-O102)*Q102</f>
        <v>0.90000000000000568</v>
      </c>
      <c r="S102" s="84">
        <f>'HKL1720'!K13</f>
        <v>1275.9000000000001</v>
      </c>
      <c r="T102" s="84">
        <f>'HKL1720'!J13</f>
        <v>1275.9000000000001</v>
      </c>
      <c r="U102" s="84">
        <f>U101</f>
        <v>1</v>
      </c>
      <c r="V102" s="84">
        <f t="shared" ref="V102:V103" si="239">(T102-S102)*U102</f>
        <v>0</v>
      </c>
      <c r="W102" s="85">
        <f t="shared" ref="W102:W103" si="240">N102/30/I102</f>
        <v>0</v>
      </c>
      <c r="X102" s="84" t="s">
        <v>256</v>
      </c>
      <c r="Y102" s="82" t="str">
        <f>'HKL1720'!B13</f>
        <v>01.01.2020</v>
      </c>
    </row>
    <row r="103" spans="1:25" s="40" customFormat="1" ht="39.950000000000003" customHeight="1" x14ac:dyDescent="0.25">
      <c r="A103" s="49">
        <v>7</v>
      </c>
      <c r="B103" s="50" t="str">
        <f t="shared" si="232"/>
        <v>H D Kote</v>
      </c>
      <c r="C103" s="50" t="str">
        <f t="shared" si="232"/>
        <v>HDKOTE/1714</v>
      </c>
      <c r="D103" s="50" t="str">
        <f t="shared" si="232"/>
        <v>GOVT URDU PRIMARY SCHOOL</v>
      </c>
      <c r="E103" s="50" t="str">
        <f t="shared" si="232"/>
        <v>HKL1720</v>
      </c>
      <c r="F103" s="50">
        <f t="shared" si="232"/>
        <v>0.12</v>
      </c>
      <c r="G103" s="50" t="str">
        <f t="shared" si="232"/>
        <v>GOVT</v>
      </c>
      <c r="H103" s="50" t="str">
        <f t="shared" si="232"/>
        <v>IPDS</v>
      </c>
      <c r="I103" s="50">
        <f t="shared" si="232"/>
        <v>3</v>
      </c>
      <c r="J103" s="50" t="str">
        <f t="shared" si="232"/>
        <v>LT 2</v>
      </c>
      <c r="K103" s="84">
        <f>'HKL1720'!Q14</f>
        <v>1345.3</v>
      </c>
      <c r="L103" s="84">
        <f>'HKL1720'!P14</f>
        <v>1477.8</v>
      </c>
      <c r="M103" s="84">
        <f>'[1]April-18'!M25</f>
        <v>1</v>
      </c>
      <c r="N103" s="84">
        <f t="shared" si="237"/>
        <v>132.5</v>
      </c>
      <c r="O103" s="84">
        <f>'HKL1720'!F14</f>
        <v>73.2</v>
      </c>
      <c r="P103" s="84">
        <f>'HKL1720'!E14</f>
        <v>76.7</v>
      </c>
      <c r="Q103" s="84">
        <f t="shared" si="234"/>
        <v>1</v>
      </c>
      <c r="R103" s="84">
        <f t="shared" si="238"/>
        <v>3.5</v>
      </c>
      <c r="S103" s="84">
        <f>'HKL1720'!K14</f>
        <v>1275.9000000000001</v>
      </c>
      <c r="T103" s="84">
        <f>'HKL1720'!J14</f>
        <v>1403.9</v>
      </c>
      <c r="U103" s="84">
        <f>'[1]April-18'!U25</f>
        <v>1</v>
      </c>
      <c r="V103" s="84">
        <f t="shared" si="239"/>
        <v>128</v>
      </c>
      <c r="W103" s="85">
        <f t="shared" si="240"/>
        <v>1.4722222222222223</v>
      </c>
      <c r="X103" s="84" t="s">
        <v>256</v>
      </c>
      <c r="Y103" s="82" t="s">
        <v>253</v>
      </c>
    </row>
    <row r="104" spans="1:25" s="40" customFormat="1" ht="39.950000000000003" customHeight="1" x14ac:dyDescent="0.25">
      <c r="A104" s="49">
        <v>1</v>
      </c>
      <c r="B104" s="50" t="s">
        <v>43</v>
      </c>
      <c r="C104" s="56" t="s">
        <v>229</v>
      </c>
      <c r="D104" s="59" t="s">
        <v>193</v>
      </c>
      <c r="E104" s="55" t="s">
        <v>192</v>
      </c>
      <c r="F104" s="50">
        <v>0.24</v>
      </c>
      <c r="G104" s="49" t="s">
        <v>221</v>
      </c>
      <c r="H104" s="64" t="s">
        <v>222</v>
      </c>
      <c r="I104" s="49">
        <v>1</v>
      </c>
      <c r="J104" s="49" t="s">
        <v>223</v>
      </c>
      <c r="K104" s="84">
        <f>HDTL31052!Q8</f>
        <v>416.3</v>
      </c>
      <c r="L104" s="84">
        <f>HDTL31052!P8</f>
        <v>448</v>
      </c>
      <c r="M104" s="84">
        <f>'[1]April-18'!M20</f>
        <v>1</v>
      </c>
      <c r="N104" s="84">
        <f t="shared" si="0"/>
        <v>31.699999999999989</v>
      </c>
      <c r="O104" s="84">
        <f>HDTL31052!F8</f>
        <v>3.3</v>
      </c>
      <c r="P104" s="84">
        <f>HDTL31052!E8</f>
        <v>6.9</v>
      </c>
      <c r="Q104" s="84">
        <v>1</v>
      </c>
      <c r="R104" s="84">
        <f t="shared" si="16"/>
        <v>3.6000000000000005</v>
      </c>
      <c r="S104" s="84">
        <f>HDTL31052!K8</f>
        <v>24.6</v>
      </c>
      <c r="T104" s="84">
        <f>HDTL31052!J8</f>
        <v>56</v>
      </c>
      <c r="U104" s="84">
        <f>'[1]April-18'!U20</f>
        <v>1</v>
      </c>
      <c r="V104" s="84">
        <f t="shared" si="17"/>
        <v>31.4</v>
      </c>
      <c r="W104" s="85">
        <f t="shared" si="231"/>
        <v>1.0566666666666662</v>
      </c>
      <c r="X104" s="84"/>
      <c r="Y104" s="82" t="str">
        <f>HDTL31052!B8</f>
        <v>01.08.2019</v>
      </c>
    </row>
    <row r="105" spans="1:25" s="40" customFormat="1" ht="39.950000000000003" customHeight="1" x14ac:dyDescent="0.25">
      <c r="A105" s="49">
        <v>2</v>
      </c>
      <c r="B105" s="50" t="str">
        <f>B104</f>
        <v>H D Kote</v>
      </c>
      <c r="C105" s="50" t="str">
        <f t="shared" ref="C105:J106" si="241">C104</f>
        <v>HDKOTE/1714</v>
      </c>
      <c r="D105" s="50" t="str">
        <f t="shared" si="241"/>
        <v>HEAD MASTER G.L.P.S</v>
      </c>
      <c r="E105" s="50" t="str">
        <f t="shared" si="241"/>
        <v>HDTL31052</v>
      </c>
      <c r="F105" s="50">
        <f t="shared" si="241"/>
        <v>0.24</v>
      </c>
      <c r="G105" s="50" t="str">
        <f t="shared" si="241"/>
        <v>GOVT</v>
      </c>
      <c r="H105" s="50" t="str">
        <f t="shared" si="241"/>
        <v>IPDS</v>
      </c>
      <c r="I105" s="50">
        <f t="shared" si="241"/>
        <v>1</v>
      </c>
      <c r="J105" s="50" t="str">
        <f t="shared" si="241"/>
        <v>LT 2</v>
      </c>
      <c r="K105" s="84">
        <f>HDTL31052!Q9</f>
        <v>448</v>
      </c>
      <c r="L105" s="84">
        <f>HDTL31052!P9</f>
        <v>480</v>
      </c>
      <c r="M105" s="84">
        <f>'[1]April-18'!M21</f>
        <v>1</v>
      </c>
      <c r="N105" s="84">
        <f t="shared" ref="N105" si="242">(L105-K105)*M105</f>
        <v>32</v>
      </c>
      <c r="O105" s="84">
        <f>HDTL31052!F9</f>
        <v>6.9</v>
      </c>
      <c r="P105" s="84">
        <f>HDTL31052!E9</f>
        <v>11.7</v>
      </c>
      <c r="Q105" s="84">
        <f>Q104</f>
        <v>1</v>
      </c>
      <c r="R105" s="84">
        <f t="shared" ref="R105" si="243">(P105-O105)*Q105</f>
        <v>4.7999999999999989</v>
      </c>
      <c r="S105" s="84">
        <f>HDTL31052!K9</f>
        <v>56</v>
      </c>
      <c r="T105" s="84">
        <f>HDTL31052!J9</f>
        <v>85.5</v>
      </c>
      <c r="U105" s="84">
        <f>'[1]April-18'!U21</f>
        <v>1</v>
      </c>
      <c r="V105" s="84">
        <f t="shared" ref="V105" si="244">(T105-S105)*U105</f>
        <v>29.5</v>
      </c>
      <c r="W105" s="85">
        <f t="shared" si="231"/>
        <v>1.0666666666666667</v>
      </c>
      <c r="X105" s="84"/>
      <c r="Y105" s="82" t="str">
        <f>HDTL31052!B9</f>
        <v>01.09.2019</v>
      </c>
    </row>
    <row r="106" spans="1:25" s="40" customFormat="1" ht="39.950000000000003" customHeight="1" x14ac:dyDescent="0.25">
      <c r="A106" s="49">
        <v>3</v>
      </c>
      <c r="B106" s="50" t="str">
        <f>B105</f>
        <v>H D Kote</v>
      </c>
      <c r="C106" s="50" t="str">
        <f t="shared" si="241"/>
        <v>HDKOTE/1714</v>
      </c>
      <c r="D106" s="50" t="str">
        <f t="shared" si="241"/>
        <v>HEAD MASTER G.L.P.S</v>
      </c>
      <c r="E106" s="50" t="str">
        <f t="shared" si="241"/>
        <v>HDTL31052</v>
      </c>
      <c r="F106" s="50">
        <f t="shared" si="241"/>
        <v>0.24</v>
      </c>
      <c r="G106" s="50" t="str">
        <f t="shared" si="241"/>
        <v>GOVT</v>
      </c>
      <c r="H106" s="50" t="str">
        <f t="shared" si="241"/>
        <v>IPDS</v>
      </c>
      <c r="I106" s="50">
        <f t="shared" si="241"/>
        <v>1</v>
      </c>
      <c r="J106" s="50" t="str">
        <f t="shared" si="241"/>
        <v>LT 2</v>
      </c>
      <c r="K106" s="84">
        <f>HDTL31052!Q10</f>
        <v>480</v>
      </c>
      <c r="L106" s="84">
        <f>HDTL31052!P10</f>
        <v>514</v>
      </c>
      <c r="M106" s="84">
        <f>M105</f>
        <v>1</v>
      </c>
      <c r="N106" s="84">
        <f t="shared" ref="N106" si="245">(L106-K106)*M106</f>
        <v>34</v>
      </c>
      <c r="O106" s="84">
        <f>HDTL31052!F10</f>
        <v>11.7</v>
      </c>
      <c r="P106" s="84">
        <f>HDTL31052!E10</f>
        <v>13.7</v>
      </c>
      <c r="Q106" s="84">
        <f>Q105</f>
        <v>1</v>
      </c>
      <c r="R106" s="84">
        <f t="shared" ref="R106" si="246">(P106-O106)*Q106</f>
        <v>2</v>
      </c>
      <c r="S106" s="84">
        <f>HDTL31052!K10</f>
        <v>85.5</v>
      </c>
      <c r="T106" s="84">
        <f>HDTL31052!J10</f>
        <v>116.5</v>
      </c>
      <c r="U106" s="84">
        <f>U105</f>
        <v>1</v>
      </c>
      <c r="V106" s="84">
        <f t="shared" ref="V106" si="247">(T106-S106)*U106</f>
        <v>31</v>
      </c>
      <c r="W106" s="85">
        <f t="shared" si="231"/>
        <v>1.1333333333333333</v>
      </c>
      <c r="X106" s="84"/>
      <c r="Y106" s="82" t="str">
        <f>HDTL31052!B10</f>
        <v>01.10.2019</v>
      </c>
    </row>
    <row r="107" spans="1:25" s="40" customFormat="1" ht="39.950000000000003" customHeight="1" x14ac:dyDescent="0.25">
      <c r="A107" s="49">
        <v>4</v>
      </c>
      <c r="B107" s="50" t="str">
        <f t="shared" ref="B107:J110" si="248">B106</f>
        <v>H D Kote</v>
      </c>
      <c r="C107" s="50" t="str">
        <f t="shared" si="248"/>
        <v>HDKOTE/1714</v>
      </c>
      <c r="D107" s="50" t="str">
        <f t="shared" si="248"/>
        <v>HEAD MASTER G.L.P.S</v>
      </c>
      <c r="E107" s="50" t="str">
        <f t="shared" si="248"/>
        <v>HDTL31052</v>
      </c>
      <c r="F107" s="50">
        <f t="shared" si="248"/>
        <v>0.24</v>
      </c>
      <c r="G107" s="50" t="str">
        <f t="shared" si="248"/>
        <v>GOVT</v>
      </c>
      <c r="H107" s="50" t="str">
        <f t="shared" si="248"/>
        <v>IPDS</v>
      </c>
      <c r="I107" s="50">
        <f t="shared" si="248"/>
        <v>1</v>
      </c>
      <c r="J107" s="50" t="str">
        <f t="shared" si="248"/>
        <v>LT 2</v>
      </c>
      <c r="K107" s="84">
        <f>HDTL31052!Q11</f>
        <v>514</v>
      </c>
      <c r="L107" s="84">
        <f>HDTL31052!P11</f>
        <v>547</v>
      </c>
      <c r="M107" s="84">
        <f t="shared" ref="M107:M110" si="249">M106</f>
        <v>1</v>
      </c>
      <c r="N107" s="84">
        <f t="shared" ref="N107:N108" si="250">(L107-K107)*M107</f>
        <v>33</v>
      </c>
      <c r="O107" s="84">
        <f>HDTL31052!F11</f>
        <v>13.7</v>
      </c>
      <c r="P107" s="84">
        <f>HDTL31052!E11</f>
        <v>15</v>
      </c>
      <c r="Q107" s="84">
        <f t="shared" ref="Q107:Q110" si="251">Q106</f>
        <v>1</v>
      </c>
      <c r="R107" s="84">
        <f t="shared" ref="R107:R108" si="252">(P107-O107)*Q107</f>
        <v>1.3000000000000007</v>
      </c>
      <c r="S107" s="84">
        <f>HDTL31052!K11</f>
        <v>116.5</v>
      </c>
      <c r="T107" s="84">
        <f>HDTL31052!J11</f>
        <v>146.5</v>
      </c>
      <c r="U107" s="84">
        <f t="shared" ref="U107:U110" si="253">U106</f>
        <v>1</v>
      </c>
      <c r="V107" s="84">
        <f t="shared" ref="V107:V108" si="254">(T107-S107)*U107</f>
        <v>30</v>
      </c>
      <c r="W107" s="85">
        <f t="shared" si="231"/>
        <v>1.1000000000000001</v>
      </c>
      <c r="X107" s="84"/>
      <c r="Y107" s="82" t="str">
        <f>HDTL31052!B11</f>
        <v>01.11.2019</v>
      </c>
    </row>
    <row r="108" spans="1:25" s="40" customFormat="1" ht="39.950000000000003" customHeight="1" x14ac:dyDescent="0.25">
      <c r="A108" s="49">
        <v>5</v>
      </c>
      <c r="B108" s="50" t="str">
        <f t="shared" si="248"/>
        <v>H D Kote</v>
      </c>
      <c r="C108" s="50" t="str">
        <f t="shared" si="248"/>
        <v>HDKOTE/1714</v>
      </c>
      <c r="D108" s="50" t="str">
        <f t="shared" si="248"/>
        <v>HEAD MASTER G.L.P.S</v>
      </c>
      <c r="E108" s="50" t="str">
        <f t="shared" si="248"/>
        <v>HDTL31052</v>
      </c>
      <c r="F108" s="50">
        <f t="shared" si="248"/>
        <v>0.24</v>
      </c>
      <c r="G108" s="50" t="str">
        <f t="shared" si="248"/>
        <v>GOVT</v>
      </c>
      <c r="H108" s="50" t="str">
        <f t="shared" si="248"/>
        <v>IPDS</v>
      </c>
      <c r="I108" s="50">
        <f t="shared" si="248"/>
        <v>1</v>
      </c>
      <c r="J108" s="50" t="str">
        <f t="shared" si="248"/>
        <v>LT 2</v>
      </c>
      <c r="K108" s="84">
        <f>HDTL31052!Q12</f>
        <v>547</v>
      </c>
      <c r="L108" s="84">
        <f>HDTL31052!P12</f>
        <v>605</v>
      </c>
      <c r="M108" s="84">
        <f t="shared" si="249"/>
        <v>1</v>
      </c>
      <c r="N108" s="84">
        <f t="shared" si="250"/>
        <v>58</v>
      </c>
      <c r="O108" s="84">
        <f>HDTL31052!F12</f>
        <v>15</v>
      </c>
      <c r="P108" s="84">
        <f>HDTL31052!E12</f>
        <v>25.6</v>
      </c>
      <c r="Q108" s="84">
        <f t="shared" si="251"/>
        <v>1</v>
      </c>
      <c r="R108" s="84">
        <f t="shared" si="252"/>
        <v>10.600000000000001</v>
      </c>
      <c r="S108" s="84">
        <f>HDTL31052!K12</f>
        <v>146.5</v>
      </c>
      <c r="T108" s="84">
        <f>HDTL31052!J12</f>
        <v>188.5</v>
      </c>
      <c r="U108" s="84">
        <f t="shared" si="253"/>
        <v>1</v>
      </c>
      <c r="V108" s="84">
        <f t="shared" si="254"/>
        <v>42</v>
      </c>
      <c r="W108" s="85">
        <f t="shared" si="231"/>
        <v>1.9333333333333333</v>
      </c>
      <c r="X108" s="84"/>
      <c r="Y108" s="82" t="str">
        <f>HDTL31052!B12</f>
        <v>01.12.2019</v>
      </c>
    </row>
    <row r="109" spans="1:25" s="40" customFormat="1" ht="39.950000000000003" customHeight="1" x14ac:dyDescent="0.25">
      <c r="A109" s="49">
        <v>6</v>
      </c>
      <c r="B109" s="50" t="str">
        <f t="shared" si="248"/>
        <v>H D Kote</v>
      </c>
      <c r="C109" s="50" t="str">
        <f t="shared" si="248"/>
        <v>HDKOTE/1714</v>
      </c>
      <c r="D109" s="50" t="str">
        <f t="shared" si="248"/>
        <v>HEAD MASTER G.L.P.S</v>
      </c>
      <c r="E109" s="50" t="str">
        <f t="shared" si="248"/>
        <v>HDTL31052</v>
      </c>
      <c r="F109" s="50">
        <f t="shared" si="248"/>
        <v>0.24</v>
      </c>
      <c r="G109" s="50" t="str">
        <f t="shared" si="248"/>
        <v>GOVT</v>
      </c>
      <c r="H109" s="50" t="str">
        <f t="shared" si="248"/>
        <v>IPDS</v>
      </c>
      <c r="I109" s="50">
        <f t="shared" si="248"/>
        <v>1</v>
      </c>
      <c r="J109" s="50" t="str">
        <f t="shared" si="248"/>
        <v>LT 2</v>
      </c>
      <c r="K109" s="84">
        <f>HDTL31052!Q13</f>
        <v>605</v>
      </c>
      <c r="L109" s="84">
        <f>HDTL31052!P13</f>
        <v>700</v>
      </c>
      <c r="M109" s="84">
        <f t="shared" si="249"/>
        <v>1</v>
      </c>
      <c r="N109" s="84">
        <f t="shared" ref="N109:N110" si="255">(L109-K109)*M109</f>
        <v>95</v>
      </c>
      <c r="O109" s="84">
        <f>HDTL31052!F13</f>
        <v>25.6</v>
      </c>
      <c r="P109" s="84">
        <f>HDTL31052!E13</f>
        <v>30.8</v>
      </c>
      <c r="Q109" s="84">
        <f t="shared" si="251"/>
        <v>1</v>
      </c>
      <c r="R109" s="84">
        <f t="shared" ref="R109:R110" si="256">(P109-O109)*Q109</f>
        <v>5.1999999999999993</v>
      </c>
      <c r="S109" s="84">
        <f>HDTL31052!K13</f>
        <v>188.5</v>
      </c>
      <c r="T109" s="84">
        <f>HDTL31052!J13</f>
        <v>276.5</v>
      </c>
      <c r="U109" s="84">
        <f t="shared" si="253"/>
        <v>1</v>
      </c>
      <c r="V109" s="84">
        <f t="shared" ref="V109:V110" si="257">(T109-S109)*U109</f>
        <v>88</v>
      </c>
      <c r="W109" s="85">
        <f t="shared" ref="W109:W110" si="258">N109/30/I109</f>
        <v>3.1666666666666665</v>
      </c>
      <c r="X109" s="84"/>
      <c r="Y109" s="82" t="str">
        <f>HDTL31052!B13</f>
        <v>01.01.2020</v>
      </c>
    </row>
    <row r="110" spans="1:25" s="40" customFormat="1" ht="39.950000000000003" customHeight="1" x14ac:dyDescent="0.25">
      <c r="A110" s="49">
        <v>7</v>
      </c>
      <c r="B110" s="50" t="str">
        <f t="shared" si="248"/>
        <v>H D Kote</v>
      </c>
      <c r="C110" s="50" t="str">
        <f t="shared" si="248"/>
        <v>HDKOTE/1714</v>
      </c>
      <c r="D110" s="50" t="str">
        <f t="shared" si="248"/>
        <v>HEAD MASTER G.L.P.S</v>
      </c>
      <c r="E110" s="50" t="str">
        <f t="shared" si="248"/>
        <v>HDTL31052</v>
      </c>
      <c r="F110" s="50">
        <f t="shared" si="248"/>
        <v>0.24</v>
      </c>
      <c r="G110" s="50" t="str">
        <f t="shared" si="248"/>
        <v>GOVT</v>
      </c>
      <c r="H110" s="50" t="str">
        <f t="shared" si="248"/>
        <v>IPDS</v>
      </c>
      <c r="I110" s="50">
        <f t="shared" si="248"/>
        <v>1</v>
      </c>
      <c r="J110" s="50" t="str">
        <f t="shared" si="248"/>
        <v>LT 2</v>
      </c>
      <c r="K110" s="84">
        <f>HDTL31052!Q14</f>
        <v>700</v>
      </c>
      <c r="L110" s="84">
        <f>HDTL31052!P14</f>
        <v>740</v>
      </c>
      <c r="M110" s="84">
        <f t="shared" si="249"/>
        <v>1</v>
      </c>
      <c r="N110" s="84">
        <f t="shared" si="255"/>
        <v>40</v>
      </c>
      <c r="O110" s="84">
        <f>HDTL31052!F14</f>
        <v>30.8</v>
      </c>
      <c r="P110" s="84">
        <f>HDTL31052!E14</f>
        <v>36.799999999999997</v>
      </c>
      <c r="Q110" s="84">
        <f t="shared" si="251"/>
        <v>1</v>
      </c>
      <c r="R110" s="84">
        <f t="shared" si="256"/>
        <v>5.9999999999999964</v>
      </c>
      <c r="S110" s="84">
        <f>HDTL31052!K14</f>
        <v>276.5</v>
      </c>
      <c r="T110" s="84">
        <f>HDTL31052!J14</f>
        <v>314.5</v>
      </c>
      <c r="U110" s="84">
        <f t="shared" si="253"/>
        <v>1</v>
      </c>
      <c r="V110" s="84">
        <f t="shared" si="257"/>
        <v>38</v>
      </c>
      <c r="W110" s="85">
        <f t="shared" si="258"/>
        <v>1.3333333333333333</v>
      </c>
      <c r="X110" s="84"/>
      <c r="Y110" s="82" t="s">
        <v>253</v>
      </c>
    </row>
    <row r="111" spans="1:25" s="40" customFormat="1" ht="39.950000000000003" customHeight="1" x14ac:dyDescent="0.25">
      <c r="A111" s="49">
        <v>1</v>
      </c>
      <c r="B111" s="49" t="s">
        <v>83</v>
      </c>
      <c r="C111" s="57" t="s">
        <v>226</v>
      </c>
      <c r="D111" s="59" t="s">
        <v>227</v>
      </c>
      <c r="E111" s="55" t="s">
        <v>228</v>
      </c>
      <c r="F111" s="50">
        <v>1</v>
      </c>
      <c r="G111" s="49" t="s">
        <v>221</v>
      </c>
      <c r="H111" s="64" t="s">
        <v>239</v>
      </c>
      <c r="I111" s="49">
        <v>5</v>
      </c>
      <c r="J111" s="49" t="s">
        <v>87</v>
      </c>
      <c r="K111" s="84">
        <f>'MHQ06'!Q37</f>
        <v>5344.9</v>
      </c>
      <c r="L111" s="84">
        <f>'MHQ06'!P37</f>
        <v>5692.2</v>
      </c>
      <c r="M111" s="84">
        <f>'[1]April-18'!M29</f>
        <v>1</v>
      </c>
      <c r="N111" s="84">
        <f t="shared" si="0"/>
        <v>347.30000000000018</v>
      </c>
      <c r="O111" s="84">
        <f>'MHQ06'!F37</f>
        <v>674.8</v>
      </c>
      <c r="P111" s="84">
        <f>'MHQ06'!E37</f>
        <v>686.9</v>
      </c>
      <c r="Q111" s="84">
        <v>1</v>
      </c>
      <c r="R111" s="84">
        <f t="shared" si="16"/>
        <v>12.100000000000023</v>
      </c>
      <c r="S111" s="84">
        <f>'MHQ06'!K37</f>
        <v>4786.2</v>
      </c>
      <c r="T111" s="84">
        <f>'MHQ06'!J37</f>
        <v>5095.8</v>
      </c>
      <c r="U111" s="84">
        <f>'[1]April-18'!U29</f>
        <v>1</v>
      </c>
      <c r="V111" s="84">
        <f t="shared" si="17"/>
        <v>309.60000000000036</v>
      </c>
      <c r="W111" s="85">
        <f t="shared" si="231"/>
        <v>2.3153333333333346</v>
      </c>
      <c r="X111" s="84"/>
      <c r="Y111" s="82" t="str">
        <f>'MHQ06'!B37</f>
        <v>01.08.2019</v>
      </c>
    </row>
    <row r="112" spans="1:25" s="40" customFormat="1" ht="39.950000000000003" customHeight="1" x14ac:dyDescent="0.25">
      <c r="A112" s="49">
        <v>2</v>
      </c>
      <c r="B112" s="49" t="str">
        <f>B111</f>
        <v>Hampapura</v>
      </c>
      <c r="C112" s="49" t="str">
        <f t="shared" ref="C112:I113" si="259">C111</f>
        <v>Hommaragalli /1741</v>
      </c>
      <c r="D112" s="49" t="str">
        <f t="shared" si="259"/>
        <v>Section Office</v>
      </c>
      <c r="E112" s="49" t="str">
        <f t="shared" si="259"/>
        <v>MHQ-06</v>
      </c>
      <c r="F112" s="49">
        <f t="shared" si="259"/>
        <v>1</v>
      </c>
      <c r="G112" s="49" t="str">
        <f t="shared" si="259"/>
        <v>GOVT</v>
      </c>
      <c r="H112" s="49" t="str">
        <f t="shared" si="259"/>
        <v>NON IPDS</v>
      </c>
      <c r="I112" s="49">
        <f t="shared" si="259"/>
        <v>5</v>
      </c>
      <c r="J112" s="49" t="str">
        <f>J111</f>
        <v>LT3(II)</v>
      </c>
      <c r="K112" s="84">
        <f>'MHQ06'!Q38</f>
        <v>5692.2</v>
      </c>
      <c r="L112" s="84">
        <f>'MHQ06'!P38</f>
        <v>5984.5</v>
      </c>
      <c r="M112" s="84">
        <f>'[1]April-18'!M30</f>
        <v>1</v>
      </c>
      <c r="N112" s="84">
        <f t="shared" ref="N112" si="260">(L112-K112)*M112</f>
        <v>292.30000000000018</v>
      </c>
      <c r="O112" s="84">
        <f>'MHQ06'!F38</f>
        <v>686.9</v>
      </c>
      <c r="P112" s="84">
        <f>'MHQ06'!E38</f>
        <v>704.6</v>
      </c>
      <c r="Q112" s="84">
        <f>Q111</f>
        <v>1</v>
      </c>
      <c r="R112" s="84">
        <f t="shared" ref="R112" si="261">(P112-O112)*Q112</f>
        <v>17.700000000000045</v>
      </c>
      <c r="S112" s="84">
        <f>'MHQ06'!K38</f>
        <v>5095.8</v>
      </c>
      <c r="T112" s="84">
        <f>'MHQ06'!J38</f>
        <v>5351.5</v>
      </c>
      <c r="U112" s="84">
        <f>'[1]April-18'!U30</f>
        <v>1</v>
      </c>
      <c r="V112" s="84">
        <f t="shared" ref="V112" si="262">(T112-S112)*U112</f>
        <v>255.69999999999982</v>
      </c>
      <c r="W112" s="85">
        <f t="shared" si="231"/>
        <v>1.9486666666666679</v>
      </c>
      <c r="X112" s="84"/>
      <c r="Y112" s="82" t="str">
        <f>'MHQ06'!B38</f>
        <v>01.09.2019</v>
      </c>
    </row>
    <row r="113" spans="1:25" s="40" customFormat="1" ht="39.950000000000003" customHeight="1" x14ac:dyDescent="0.25">
      <c r="A113" s="49">
        <v>3</v>
      </c>
      <c r="B113" s="49" t="str">
        <f>B112</f>
        <v>Hampapura</v>
      </c>
      <c r="C113" s="49" t="str">
        <f t="shared" si="259"/>
        <v>Hommaragalli /1741</v>
      </c>
      <c r="D113" s="49" t="str">
        <f t="shared" si="259"/>
        <v>Section Office</v>
      </c>
      <c r="E113" s="49" t="str">
        <f t="shared" si="259"/>
        <v>MHQ-06</v>
      </c>
      <c r="F113" s="49">
        <f t="shared" si="259"/>
        <v>1</v>
      </c>
      <c r="G113" s="49" t="str">
        <f t="shared" si="259"/>
        <v>GOVT</v>
      </c>
      <c r="H113" s="49" t="str">
        <f t="shared" si="259"/>
        <v>NON IPDS</v>
      </c>
      <c r="I113" s="49">
        <f t="shared" si="259"/>
        <v>5</v>
      </c>
      <c r="J113" s="49" t="str">
        <f>J112</f>
        <v>LT3(II)</v>
      </c>
      <c r="K113" s="84">
        <f>'MHQ06'!Q39</f>
        <v>5984.5</v>
      </c>
      <c r="L113" s="84">
        <f>'MHQ06'!P39</f>
        <v>6279.5</v>
      </c>
      <c r="M113" s="84">
        <f>'[1]April-18'!M31</f>
        <v>1</v>
      </c>
      <c r="N113" s="84">
        <f t="shared" ref="N113" si="263">(L113-K113)*M113</f>
        <v>295</v>
      </c>
      <c r="O113" s="84">
        <f>'MHQ06'!F39</f>
        <v>0</v>
      </c>
      <c r="P113" s="224" t="str">
        <f>'MHQ06'!E39</f>
        <v>METER BURNT</v>
      </c>
      <c r="Q113" s="225"/>
      <c r="R113" s="225"/>
      <c r="S113" s="225"/>
      <c r="T113" s="225"/>
      <c r="U113" s="225"/>
      <c r="V113" s="226"/>
      <c r="W113" s="85">
        <f t="shared" si="231"/>
        <v>1.9666666666666668</v>
      </c>
      <c r="X113" s="84"/>
      <c r="Y113" s="82" t="str">
        <f>'MHQ06'!B39</f>
        <v>01.10.2019</v>
      </c>
    </row>
    <row r="114" spans="1:25" s="40" customFormat="1" ht="39.950000000000003" customHeight="1" x14ac:dyDescent="0.25">
      <c r="A114" s="49">
        <v>4</v>
      </c>
      <c r="B114" s="49" t="str">
        <f t="shared" ref="B114:I117" si="264">B113</f>
        <v>Hampapura</v>
      </c>
      <c r="C114" s="49" t="str">
        <f t="shared" si="264"/>
        <v>Hommaragalli /1741</v>
      </c>
      <c r="D114" s="49" t="str">
        <f t="shared" si="264"/>
        <v>Section Office</v>
      </c>
      <c r="E114" s="49" t="str">
        <f t="shared" si="264"/>
        <v>MHQ-06</v>
      </c>
      <c r="F114" s="49">
        <f t="shared" si="264"/>
        <v>1</v>
      </c>
      <c r="G114" s="49" t="str">
        <f t="shared" si="264"/>
        <v>GOVT</v>
      </c>
      <c r="H114" s="49" t="str">
        <f t="shared" si="264"/>
        <v>NON IPDS</v>
      </c>
      <c r="I114" s="49">
        <f t="shared" si="264"/>
        <v>5</v>
      </c>
      <c r="J114" s="49" t="str">
        <f t="shared" ref="J114:J117" si="265">J113</f>
        <v>LT3(II)</v>
      </c>
      <c r="K114" s="84">
        <f>'MHQ06'!Q40</f>
        <v>6279.5</v>
      </c>
      <c r="L114" s="84">
        <f>'MHQ06'!P40</f>
        <v>6658.6</v>
      </c>
      <c r="M114" s="84">
        <f>'[1]April-18'!M32</f>
        <v>1</v>
      </c>
      <c r="N114" s="84">
        <f t="shared" ref="N114:N115" si="266">(L114-K114)*M114</f>
        <v>379.10000000000036</v>
      </c>
      <c r="O114" s="84">
        <f>'MHQ06'!F40</f>
        <v>0</v>
      </c>
      <c r="P114" s="224" t="str">
        <f>'MHQ06'!E40</f>
        <v>METER BURNT</v>
      </c>
      <c r="Q114" s="225"/>
      <c r="R114" s="225"/>
      <c r="S114" s="225"/>
      <c r="T114" s="225"/>
      <c r="U114" s="225"/>
      <c r="V114" s="226"/>
      <c r="W114" s="85">
        <f t="shared" si="231"/>
        <v>2.5273333333333357</v>
      </c>
      <c r="X114" s="84"/>
      <c r="Y114" s="82" t="str">
        <f>'MHQ06'!B40</f>
        <v>01.11.2019</v>
      </c>
    </row>
    <row r="115" spans="1:25" s="40" customFormat="1" ht="39.950000000000003" customHeight="1" x14ac:dyDescent="0.25">
      <c r="A115" s="49">
        <v>5</v>
      </c>
      <c r="B115" s="49" t="str">
        <f t="shared" si="264"/>
        <v>Hampapura</v>
      </c>
      <c r="C115" s="49" t="str">
        <f t="shared" si="264"/>
        <v>Hommaragalli /1741</v>
      </c>
      <c r="D115" s="49" t="str">
        <f t="shared" si="264"/>
        <v>Section Office</v>
      </c>
      <c r="E115" s="49" t="str">
        <f t="shared" si="264"/>
        <v>MHQ-06</v>
      </c>
      <c r="F115" s="49">
        <f t="shared" si="264"/>
        <v>1</v>
      </c>
      <c r="G115" s="49" t="str">
        <f t="shared" si="264"/>
        <v>GOVT</v>
      </c>
      <c r="H115" s="49" t="str">
        <f t="shared" si="264"/>
        <v>NON IPDS</v>
      </c>
      <c r="I115" s="49">
        <f t="shared" si="264"/>
        <v>5</v>
      </c>
      <c r="J115" s="49" t="str">
        <f t="shared" si="265"/>
        <v>LT3(II)</v>
      </c>
      <c r="K115" s="84">
        <f>'MHQ06'!Q41</f>
        <v>6658.6</v>
      </c>
      <c r="L115" s="84">
        <f>'MHQ06'!P41</f>
        <v>6758.6</v>
      </c>
      <c r="M115" s="84">
        <v>1</v>
      </c>
      <c r="N115" s="84">
        <f t="shared" si="266"/>
        <v>100</v>
      </c>
      <c r="O115" s="84">
        <f>'MHQ06'!F41</f>
        <v>0</v>
      </c>
      <c r="P115" s="224" t="str">
        <f>'MHQ06'!E41</f>
        <v>METER BURNT</v>
      </c>
      <c r="Q115" s="225"/>
      <c r="R115" s="225"/>
      <c r="S115" s="225"/>
      <c r="T115" s="225"/>
      <c r="U115" s="225"/>
      <c r="V115" s="226"/>
      <c r="W115" s="85">
        <f t="shared" si="231"/>
        <v>0.66666666666666674</v>
      </c>
      <c r="X115" s="86" t="s">
        <v>250</v>
      </c>
      <c r="Y115" s="82" t="str">
        <f>'MHQ06'!B41</f>
        <v>01.12.2019</v>
      </c>
    </row>
    <row r="116" spans="1:25" s="40" customFormat="1" ht="39.950000000000003" customHeight="1" x14ac:dyDescent="0.25">
      <c r="A116" s="49">
        <v>6</v>
      </c>
      <c r="B116" s="49" t="str">
        <f t="shared" si="264"/>
        <v>Hampapura</v>
      </c>
      <c r="C116" s="49" t="str">
        <f t="shared" si="264"/>
        <v>Hommaragalli /1741</v>
      </c>
      <c r="D116" s="49" t="str">
        <f t="shared" si="264"/>
        <v>Section Office</v>
      </c>
      <c r="E116" s="49" t="str">
        <f t="shared" si="264"/>
        <v>MHQ-06</v>
      </c>
      <c r="F116" s="49">
        <f t="shared" si="264"/>
        <v>1</v>
      </c>
      <c r="G116" s="49" t="str">
        <f t="shared" si="264"/>
        <v>GOVT</v>
      </c>
      <c r="H116" s="49" t="str">
        <f t="shared" si="264"/>
        <v>NON IPDS</v>
      </c>
      <c r="I116" s="49">
        <f t="shared" si="264"/>
        <v>5</v>
      </c>
      <c r="J116" s="49" t="str">
        <f t="shared" si="265"/>
        <v>LT3(II)</v>
      </c>
      <c r="K116" s="84">
        <f>'MHQ06'!Q42</f>
        <v>6758.6</v>
      </c>
      <c r="L116" s="84">
        <f>'MHQ06'!P42</f>
        <v>7094</v>
      </c>
      <c r="M116" s="84">
        <f>M115</f>
        <v>1</v>
      </c>
      <c r="N116" s="84">
        <f t="shared" ref="N116" si="267">(L116-K116)*M116</f>
        <v>335.39999999999964</v>
      </c>
      <c r="O116" s="84">
        <f>'MHQ06'!F42</f>
        <v>0</v>
      </c>
      <c r="P116" s="224" t="str">
        <f>'MHQ06'!E42</f>
        <v>METER BURNT</v>
      </c>
      <c r="Q116" s="225"/>
      <c r="R116" s="225"/>
      <c r="S116" s="225"/>
      <c r="T116" s="225"/>
      <c r="U116" s="225"/>
      <c r="V116" s="226"/>
      <c r="W116" s="85">
        <f t="shared" ref="W116" si="268">N116/30/I116</f>
        <v>2.2359999999999975</v>
      </c>
      <c r="X116" s="86"/>
      <c r="Y116" s="82" t="str">
        <f>'MHQ06'!B42</f>
        <v>01.01.2020</v>
      </c>
    </row>
    <row r="117" spans="1:25" s="40" customFormat="1" ht="39.950000000000003" customHeight="1" x14ac:dyDescent="0.25">
      <c r="A117" s="49">
        <v>7</v>
      </c>
      <c r="B117" s="49" t="str">
        <f t="shared" si="264"/>
        <v>Hampapura</v>
      </c>
      <c r="C117" s="49" t="str">
        <f t="shared" si="264"/>
        <v>Hommaragalli /1741</v>
      </c>
      <c r="D117" s="49" t="str">
        <f t="shared" si="264"/>
        <v>Section Office</v>
      </c>
      <c r="E117" s="49" t="str">
        <f t="shared" si="264"/>
        <v>MHQ-06</v>
      </c>
      <c r="F117" s="49">
        <f t="shared" si="264"/>
        <v>1</v>
      </c>
      <c r="G117" s="49" t="str">
        <f t="shared" si="264"/>
        <v>GOVT</v>
      </c>
      <c r="H117" s="49" t="str">
        <f t="shared" si="264"/>
        <v>NON IPDS</v>
      </c>
      <c r="I117" s="49">
        <f t="shared" si="264"/>
        <v>5</v>
      </c>
      <c r="J117" s="49" t="str">
        <f t="shared" si="265"/>
        <v>LT3(II)</v>
      </c>
      <c r="K117" s="84">
        <f>'MHQ06'!Q43</f>
        <v>7094</v>
      </c>
      <c r="L117" s="84">
        <f>'MHQ06'!P43</f>
        <v>7563.1</v>
      </c>
      <c r="M117" s="84">
        <f>M116</f>
        <v>1</v>
      </c>
      <c r="N117" s="84">
        <f t="shared" ref="N117" si="269">(L117-K117)*M117</f>
        <v>469.10000000000036</v>
      </c>
      <c r="O117" s="84">
        <f>'MHQ06'!F43</f>
        <v>0</v>
      </c>
      <c r="P117" s="84">
        <f>'MHQ06'!E43</f>
        <v>53.1</v>
      </c>
      <c r="Q117" s="84">
        <f>Q112</f>
        <v>1</v>
      </c>
      <c r="R117" s="84">
        <f t="shared" ref="R117" si="270">(P117-O117)*Q117</f>
        <v>53.1</v>
      </c>
      <c r="S117" s="84">
        <f>'MHQ06'!K43</f>
        <v>0</v>
      </c>
      <c r="T117" s="84">
        <f>'MHQ06'!J43</f>
        <v>475</v>
      </c>
      <c r="U117" s="84">
        <f>'[1]April-18'!U35</f>
        <v>1</v>
      </c>
      <c r="V117" s="84">
        <f t="shared" ref="V117" si="271">(T117-S117)*U117</f>
        <v>475</v>
      </c>
      <c r="W117" s="85">
        <f t="shared" ref="W117" si="272">N117/30/I117</f>
        <v>3.1273333333333357</v>
      </c>
      <c r="X117" s="86"/>
      <c r="Y117" s="82" t="s">
        <v>253</v>
      </c>
    </row>
    <row r="118" spans="1:25" s="40" customFormat="1" ht="39.950000000000003" customHeight="1" x14ac:dyDescent="0.25">
      <c r="A118" s="49">
        <v>1</v>
      </c>
      <c r="B118" s="49" t="s">
        <v>43</v>
      </c>
      <c r="C118" s="57" t="s">
        <v>229</v>
      </c>
      <c r="D118" s="59" t="s">
        <v>230</v>
      </c>
      <c r="E118" s="55" t="s">
        <v>41</v>
      </c>
      <c r="F118" s="50">
        <v>2.6</v>
      </c>
      <c r="G118" s="49" t="s">
        <v>221</v>
      </c>
      <c r="H118" s="64" t="s">
        <v>222</v>
      </c>
      <c r="I118" s="49">
        <v>5</v>
      </c>
      <c r="J118" s="49" t="s">
        <v>92</v>
      </c>
      <c r="K118" s="84">
        <f>HDTL56522!Q31</f>
        <v>11090.4</v>
      </c>
      <c r="L118" s="84">
        <f>HDTL56522!P31</f>
        <v>11528.6</v>
      </c>
      <c r="M118" s="84">
        <f>'[1]April-18'!M30</f>
        <v>1</v>
      </c>
      <c r="N118" s="84">
        <f t="shared" si="0"/>
        <v>438.20000000000073</v>
      </c>
      <c r="O118" s="84">
        <f>HDTL56522!F31:F31</f>
        <v>962.7</v>
      </c>
      <c r="P118" s="84">
        <f>HDTL56522!E31</f>
        <v>1010.2</v>
      </c>
      <c r="Q118" s="84">
        <v>1</v>
      </c>
      <c r="R118" s="84">
        <f t="shared" si="16"/>
        <v>47.5</v>
      </c>
      <c r="S118" s="84">
        <f>HDTL56522!K31</f>
        <v>9210.2999999999993</v>
      </c>
      <c r="T118" s="84">
        <f>HDTL56522!J31</f>
        <v>9521.6</v>
      </c>
      <c r="U118" s="84">
        <f>'[1]April-18'!U30</f>
        <v>1</v>
      </c>
      <c r="V118" s="84">
        <f t="shared" si="17"/>
        <v>311.30000000000109</v>
      </c>
      <c r="W118" s="85">
        <f t="shared" si="231"/>
        <v>2.921333333333338</v>
      </c>
      <c r="X118" s="84"/>
      <c r="Y118" s="82" t="str">
        <f>HDTL56522!B31</f>
        <v>01.08.2019</v>
      </c>
    </row>
    <row r="119" spans="1:25" s="40" customFormat="1" ht="39.950000000000003" customHeight="1" x14ac:dyDescent="0.25">
      <c r="A119" s="49">
        <v>2</v>
      </c>
      <c r="B119" s="49" t="str">
        <f>B118</f>
        <v>H D Kote</v>
      </c>
      <c r="C119" s="49" t="str">
        <f t="shared" ref="C119:J120" si="273">C118</f>
        <v>HDKOTE/1714</v>
      </c>
      <c r="D119" s="49" t="str">
        <f t="shared" si="273"/>
        <v>PUC College</v>
      </c>
      <c r="E119" s="49" t="str">
        <f t="shared" si="273"/>
        <v>HDTL56522</v>
      </c>
      <c r="F119" s="49">
        <f t="shared" si="273"/>
        <v>2.6</v>
      </c>
      <c r="G119" s="49" t="str">
        <f t="shared" si="273"/>
        <v>GOVT</v>
      </c>
      <c r="H119" s="49" t="str">
        <f t="shared" si="273"/>
        <v>IPDS</v>
      </c>
      <c r="I119" s="49">
        <f t="shared" si="273"/>
        <v>5</v>
      </c>
      <c r="J119" s="49" t="str">
        <f t="shared" si="273"/>
        <v>LT2B(I)</v>
      </c>
      <c r="K119" s="84">
        <f>HDTL56522!Q32</f>
        <v>11528.6</v>
      </c>
      <c r="L119" s="84">
        <f>HDTL56522!P32</f>
        <v>11857</v>
      </c>
      <c r="M119" s="84">
        <f>'[1]April-18'!M31</f>
        <v>1</v>
      </c>
      <c r="N119" s="84">
        <f t="shared" ref="N119" si="274">(L119-K119)*M119</f>
        <v>328.39999999999964</v>
      </c>
      <c r="O119" s="84">
        <f>HDTL56522!F32:F32</f>
        <v>1010.2</v>
      </c>
      <c r="P119" s="84">
        <f>HDTL56522!E32</f>
        <v>1068.4000000000001</v>
      </c>
      <c r="Q119" s="84">
        <f>Q118</f>
        <v>1</v>
      </c>
      <c r="R119" s="84">
        <f t="shared" ref="R119" si="275">(P119-O119)*Q119</f>
        <v>58.200000000000045</v>
      </c>
      <c r="S119" s="84">
        <f>HDTL56522!K32</f>
        <v>9521.6</v>
      </c>
      <c r="T119" s="84">
        <f>HDTL56522!J32</f>
        <v>9794.7999999999993</v>
      </c>
      <c r="U119" s="84">
        <f>'[1]April-18'!U31</f>
        <v>1</v>
      </c>
      <c r="V119" s="84">
        <f t="shared" ref="V119" si="276">(T119-S119)*U119</f>
        <v>273.19999999999891</v>
      </c>
      <c r="W119" s="85">
        <f t="shared" si="231"/>
        <v>2.1893333333333311</v>
      </c>
      <c r="X119" s="84"/>
      <c r="Y119" s="82" t="str">
        <f>HDTL56522!B32</f>
        <v>01.09.2019</v>
      </c>
    </row>
    <row r="120" spans="1:25" s="40" customFormat="1" ht="39.950000000000003" customHeight="1" x14ac:dyDescent="0.25">
      <c r="A120" s="49">
        <v>3</v>
      </c>
      <c r="B120" s="49" t="str">
        <f>B119</f>
        <v>H D Kote</v>
      </c>
      <c r="C120" s="49" t="str">
        <f t="shared" si="273"/>
        <v>HDKOTE/1714</v>
      </c>
      <c r="D120" s="49" t="str">
        <f t="shared" si="273"/>
        <v>PUC College</v>
      </c>
      <c r="E120" s="49" t="str">
        <f t="shared" si="273"/>
        <v>HDTL56522</v>
      </c>
      <c r="F120" s="49">
        <f t="shared" si="273"/>
        <v>2.6</v>
      </c>
      <c r="G120" s="49" t="str">
        <f t="shared" si="273"/>
        <v>GOVT</v>
      </c>
      <c r="H120" s="49" t="str">
        <f t="shared" si="273"/>
        <v>IPDS</v>
      </c>
      <c r="I120" s="49">
        <f t="shared" si="273"/>
        <v>5</v>
      </c>
      <c r="J120" s="49" t="str">
        <f t="shared" si="273"/>
        <v>LT2B(I)</v>
      </c>
      <c r="K120" s="84">
        <f>HDTL56522!Q33</f>
        <v>11857</v>
      </c>
      <c r="L120" s="84">
        <f>HDTL56522!P33</f>
        <v>12192</v>
      </c>
      <c r="M120" s="84">
        <f>'[1]April-18'!M32</f>
        <v>1</v>
      </c>
      <c r="N120" s="84">
        <f t="shared" ref="N120" si="277">(L120-K120)*M120</f>
        <v>335</v>
      </c>
      <c r="O120" s="84">
        <f>HDTL56522!F33:F33</f>
        <v>1068.4000000000001</v>
      </c>
      <c r="P120" s="84">
        <f>HDTL56522!E33</f>
        <v>1103.4000000000001</v>
      </c>
      <c r="Q120" s="84">
        <f>Q119</f>
        <v>1</v>
      </c>
      <c r="R120" s="84">
        <f t="shared" ref="R120" si="278">(P120-O120)*Q120</f>
        <v>35</v>
      </c>
      <c r="S120" s="84">
        <f>HDTL56522!K33</f>
        <v>9794.7999999999993</v>
      </c>
      <c r="T120" s="84">
        <f>HDTL56522!J33</f>
        <v>10086.799999999999</v>
      </c>
      <c r="U120" s="84">
        <f>'[1]April-18'!U32</f>
        <v>1</v>
      </c>
      <c r="V120" s="84">
        <f t="shared" ref="V120" si="279">(T120-S120)*U120</f>
        <v>292</v>
      </c>
      <c r="W120" s="85">
        <f t="shared" si="231"/>
        <v>2.2333333333333334</v>
      </c>
      <c r="X120" s="84"/>
      <c r="Y120" s="82" t="str">
        <f>HDTL56522!B33</f>
        <v>01.10.2019</v>
      </c>
    </row>
    <row r="121" spans="1:25" s="40" customFormat="1" ht="39.950000000000003" customHeight="1" x14ac:dyDescent="0.25">
      <c r="A121" s="49">
        <v>4</v>
      </c>
      <c r="B121" s="49" t="str">
        <f t="shared" ref="B121:J124" si="280">B120</f>
        <v>H D Kote</v>
      </c>
      <c r="C121" s="49" t="str">
        <f t="shared" si="280"/>
        <v>HDKOTE/1714</v>
      </c>
      <c r="D121" s="49" t="str">
        <f t="shared" si="280"/>
        <v>PUC College</v>
      </c>
      <c r="E121" s="49" t="str">
        <f t="shared" si="280"/>
        <v>HDTL56522</v>
      </c>
      <c r="F121" s="49">
        <f t="shared" si="280"/>
        <v>2.6</v>
      </c>
      <c r="G121" s="49" t="str">
        <f t="shared" si="280"/>
        <v>GOVT</v>
      </c>
      <c r="H121" s="49" t="str">
        <f t="shared" si="280"/>
        <v>IPDS</v>
      </c>
      <c r="I121" s="49">
        <f t="shared" si="280"/>
        <v>5</v>
      </c>
      <c r="J121" s="49" t="str">
        <f t="shared" si="280"/>
        <v>LT2B(I)</v>
      </c>
      <c r="K121" s="84">
        <f>HDTL56522!Q34</f>
        <v>12192</v>
      </c>
      <c r="L121" s="84">
        <f>HDTL56522!P34</f>
        <v>12704</v>
      </c>
      <c r="M121" s="84">
        <f>M120</f>
        <v>1</v>
      </c>
      <c r="N121" s="84">
        <f t="shared" ref="N121:N122" si="281">(L121-K121)*M121</f>
        <v>512</v>
      </c>
      <c r="O121" s="84">
        <f>HDTL56522!F34:F34</f>
        <v>1103.4000000000001</v>
      </c>
      <c r="P121" s="84">
        <f>HDTL56522!E34</f>
        <v>1168.4000000000001</v>
      </c>
      <c r="Q121" s="84">
        <f t="shared" ref="Q121:Q124" si="282">Q120</f>
        <v>1</v>
      </c>
      <c r="R121" s="84">
        <f t="shared" ref="R121:R122" si="283">(P121-O121)*Q121</f>
        <v>65</v>
      </c>
      <c r="S121" s="84">
        <f>HDTL56522!K34</f>
        <v>10086.799999999999</v>
      </c>
      <c r="T121" s="84">
        <f>HDTL56522!J34</f>
        <v>10586</v>
      </c>
      <c r="U121" s="84">
        <f>U120</f>
        <v>1</v>
      </c>
      <c r="V121" s="84">
        <f t="shared" ref="V121:V122" si="284">(T121-S121)*U121</f>
        <v>499.20000000000073</v>
      </c>
      <c r="W121" s="85">
        <f t="shared" si="231"/>
        <v>3.4133333333333331</v>
      </c>
      <c r="X121" s="84"/>
      <c r="Y121" s="82" t="str">
        <f>HDTL56522!B34</f>
        <v>01.11.2019</v>
      </c>
    </row>
    <row r="122" spans="1:25" s="40" customFormat="1" ht="39.950000000000003" customHeight="1" x14ac:dyDescent="0.25">
      <c r="A122" s="49">
        <v>5</v>
      </c>
      <c r="B122" s="49" t="str">
        <f t="shared" si="280"/>
        <v>H D Kote</v>
      </c>
      <c r="C122" s="49" t="str">
        <f t="shared" si="280"/>
        <v>HDKOTE/1714</v>
      </c>
      <c r="D122" s="49" t="str">
        <f t="shared" si="280"/>
        <v>PUC College</v>
      </c>
      <c r="E122" s="49" t="str">
        <f t="shared" si="280"/>
        <v>HDTL56522</v>
      </c>
      <c r="F122" s="49">
        <f t="shared" si="280"/>
        <v>2.6</v>
      </c>
      <c r="G122" s="49" t="str">
        <f t="shared" si="280"/>
        <v>GOVT</v>
      </c>
      <c r="H122" s="49" t="str">
        <f t="shared" si="280"/>
        <v>IPDS</v>
      </c>
      <c r="I122" s="49">
        <f t="shared" si="280"/>
        <v>5</v>
      </c>
      <c r="J122" s="49" t="str">
        <f t="shared" si="280"/>
        <v>LT2B(I)</v>
      </c>
      <c r="K122" s="84">
        <f>HDTL56522!Q35</f>
        <v>12704</v>
      </c>
      <c r="L122" s="84">
        <f>HDTL56522!P35</f>
        <v>13192</v>
      </c>
      <c r="M122" s="84">
        <f>'[1]April-18'!M34</f>
        <v>1</v>
      </c>
      <c r="N122" s="84">
        <f t="shared" si="281"/>
        <v>488</v>
      </c>
      <c r="O122" s="84">
        <f>HDTL56522!F35:F35</f>
        <v>1168.4000000000001</v>
      </c>
      <c r="P122" s="84">
        <f>HDTL56522!E35</f>
        <v>1213.4000000000001</v>
      </c>
      <c r="Q122" s="84">
        <f t="shared" si="282"/>
        <v>1</v>
      </c>
      <c r="R122" s="84">
        <f t="shared" si="283"/>
        <v>45</v>
      </c>
      <c r="S122" s="84">
        <f>HDTL56522!K35</f>
        <v>10586</v>
      </c>
      <c r="T122" s="84">
        <f>HDTL56522!J35</f>
        <v>11057.3</v>
      </c>
      <c r="U122" s="84">
        <f>'[1]April-18'!U34</f>
        <v>1</v>
      </c>
      <c r="V122" s="84">
        <f t="shared" si="284"/>
        <v>471.29999999999927</v>
      </c>
      <c r="W122" s="85">
        <f t="shared" si="231"/>
        <v>3.253333333333333</v>
      </c>
      <c r="X122" s="84"/>
      <c r="Y122" s="82" t="str">
        <f>HDTL56522!B35</f>
        <v>01.12.2019</v>
      </c>
    </row>
    <row r="123" spans="1:25" s="40" customFormat="1" ht="39.950000000000003" customHeight="1" x14ac:dyDescent="0.25">
      <c r="A123" s="49">
        <v>6</v>
      </c>
      <c r="B123" s="49" t="str">
        <f t="shared" si="280"/>
        <v>H D Kote</v>
      </c>
      <c r="C123" s="49" t="str">
        <f t="shared" si="280"/>
        <v>HDKOTE/1714</v>
      </c>
      <c r="D123" s="49" t="str">
        <f t="shared" si="280"/>
        <v>PUC College</v>
      </c>
      <c r="E123" s="49" t="str">
        <f t="shared" si="280"/>
        <v>HDTL56522</v>
      </c>
      <c r="F123" s="49">
        <f t="shared" si="280"/>
        <v>2.6</v>
      </c>
      <c r="G123" s="49" t="str">
        <f t="shared" si="280"/>
        <v>GOVT</v>
      </c>
      <c r="H123" s="49" t="str">
        <f t="shared" si="280"/>
        <v>IPDS</v>
      </c>
      <c r="I123" s="49">
        <f t="shared" si="280"/>
        <v>5</v>
      </c>
      <c r="J123" s="49" t="str">
        <f t="shared" si="280"/>
        <v>LT2B(I)</v>
      </c>
      <c r="K123" s="84">
        <f>HDTL56522!Q36</f>
        <v>13192</v>
      </c>
      <c r="L123" s="84">
        <f>HDTL56522!P36</f>
        <v>13642</v>
      </c>
      <c r="M123" s="84">
        <f>M122</f>
        <v>1</v>
      </c>
      <c r="N123" s="84">
        <f t="shared" ref="N123:N124" si="285">(L123-K123)*M123</f>
        <v>450</v>
      </c>
      <c r="O123" s="84">
        <f>HDTL56522!F36:F36</f>
        <v>1213.4000000000001</v>
      </c>
      <c r="P123" s="84">
        <f>HDTL56522!E36</f>
        <v>1270.4000000000001</v>
      </c>
      <c r="Q123" s="84">
        <f t="shared" si="282"/>
        <v>1</v>
      </c>
      <c r="R123" s="84">
        <f t="shared" ref="R123:R124" si="286">(P123-O123)*Q123</f>
        <v>57</v>
      </c>
      <c r="S123" s="84">
        <f>HDTL56522!K36</f>
        <v>11057.3</v>
      </c>
      <c r="T123" s="84">
        <f>HDTL56522!J36</f>
        <v>11469</v>
      </c>
      <c r="U123" s="84">
        <f>U122</f>
        <v>1</v>
      </c>
      <c r="V123" s="84">
        <f t="shared" ref="V123:V124" si="287">(T123-S123)*U123</f>
        <v>411.70000000000073</v>
      </c>
      <c r="W123" s="85">
        <f t="shared" ref="W123:W124" si="288">N123/30/I123</f>
        <v>3</v>
      </c>
      <c r="X123" s="84"/>
      <c r="Y123" s="82" t="str">
        <f>HDTL56522!B36</f>
        <v>01.01.2020</v>
      </c>
    </row>
    <row r="124" spans="1:25" s="40" customFormat="1" ht="39.950000000000003" customHeight="1" x14ac:dyDescent="0.25">
      <c r="A124" s="49">
        <v>7</v>
      </c>
      <c r="B124" s="49" t="str">
        <f t="shared" si="280"/>
        <v>H D Kote</v>
      </c>
      <c r="C124" s="49" t="str">
        <f t="shared" si="280"/>
        <v>HDKOTE/1714</v>
      </c>
      <c r="D124" s="49" t="str">
        <f t="shared" si="280"/>
        <v>PUC College</v>
      </c>
      <c r="E124" s="49" t="str">
        <f t="shared" si="280"/>
        <v>HDTL56522</v>
      </c>
      <c r="F124" s="49">
        <f t="shared" si="280"/>
        <v>2.6</v>
      </c>
      <c r="G124" s="49" t="str">
        <f t="shared" si="280"/>
        <v>GOVT</v>
      </c>
      <c r="H124" s="49" t="str">
        <f t="shared" si="280"/>
        <v>IPDS</v>
      </c>
      <c r="I124" s="49">
        <f t="shared" si="280"/>
        <v>5</v>
      </c>
      <c r="J124" s="49" t="str">
        <f t="shared" si="280"/>
        <v>LT2B(I)</v>
      </c>
      <c r="K124" s="84">
        <f>HDTL56522!Q37</f>
        <v>13642</v>
      </c>
      <c r="L124" s="84">
        <f>HDTL56522!P37</f>
        <v>14176</v>
      </c>
      <c r="M124" s="84">
        <f>'[1]April-18'!M36</f>
        <v>1</v>
      </c>
      <c r="N124" s="84">
        <f t="shared" si="285"/>
        <v>534</v>
      </c>
      <c r="O124" s="84">
        <f>HDTL56522!F37:F37</f>
        <v>1270.4000000000001</v>
      </c>
      <c r="P124" s="84">
        <f>HDTL56522!E37</f>
        <v>1319.6</v>
      </c>
      <c r="Q124" s="84">
        <f t="shared" si="282"/>
        <v>1</v>
      </c>
      <c r="R124" s="84">
        <f t="shared" si="286"/>
        <v>49.199999999999818</v>
      </c>
      <c r="S124" s="84">
        <f>HDTL56522!K37</f>
        <v>11469</v>
      </c>
      <c r="T124" s="84">
        <f>HDTL56522!J37</f>
        <v>11991.3</v>
      </c>
      <c r="U124" s="84">
        <f>'[1]April-18'!U36</f>
        <v>1</v>
      </c>
      <c r="V124" s="84">
        <f t="shared" si="287"/>
        <v>522.29999999999927</v>
      </c>
      <c r="W124" s="85">
        <f t="shared" si="288"/>
        <v>3.56</v>
      </c>
      <c r="X124" s="84"/>
      <c r="Y124" s="82" t="s">
        <v>253</v>
      </c>
    </row>
    <row r="125" spans="1:25" s="40" customFormat="1" ht="39.950000000000003" customHeight="1" x14ac:dyDescent="0.25">
      <c r="A125" s="49">
        <v>1</v>
      </c>
      <c r="B125" s="49" t="s">
        <v>43</v>
      </c>
      <c r="C125" s="57" t="s">
        <v>229</v>
      </c>
      <c r="D125" s="59" t="s">
        <v>231</v>
      </c>
      <c r="E125" s="55" t="s">
        <v>37</v>
      </c>
      <c r="F125" s="50">
        <v>5</v>
      </c>
      <c r="G125" s="49" t="s">
        <v>221</v>
      </c>
      <c r="H125" s="64" t="s">
        <v>222</v>
      </c>
      <c r="I125" s="49">
        <v>5</v>
      </c>
      <c r="J125" s="49" t="s">
        <v>232</v>
      </c>
      <c r="K125" s="84">
        <f>'HKQ1'!Q31</f>
        <v>4255.2</v>
      </c>
      <c r="L125" s="84">
        <f>'HKQ1'!P31</f>
        <v>4427.3</v>
      </c>
      <c r="M125" s="84">
        <f>'[1]April-18'!M31</f>
        <v>1</v>
      </c>
      <c r="N125" s="84">
        <f t="shared" si="0"/>
        <v>172.10000000000036</v>
      </c>
      <c r="O125" s="84">
        <f>'HKQ1'!F31</f>
        <v>2353.4</v>
      </c>
      <c r="P125" s="84">
        <f>'HKQ1'!E31</f>
        <v>2459</v>
      </c>
      <c r="Q125" s="84">
        <v>1</v>
      </c>
      <c r="R125" s="84">
        <f t="shared" si="16"/>
        <v>105.59999999999991</v>
      </c>
      <c r="S125" s="84">
        <f>'HKQ1'!K31</f>
        <v>2300</v>
      </c>
      <c r="T125" s="84">
        <f>'HKQ1'!J31</f>
        <v>2382</v>
      </c>
      <c r="U125" s="84">
        <f>'[1]April-18'!U31</f>
        <v>1</v>
      </c>
      <c r="V125" s="84">
        <f t="shared" si="17"/>
        <v>82</v>
      </c>
      <c r="W125" s="85">
        <f t="shared" si="231"/>
        <v>1.1473333333333358</v>
      </c>
      <c r="X125" s="84"/>
      <c r="Y125" s="82" t="str">
        <f>'HKQ1'!B31</f>
        <v>01.08.2019</v>
      </c>
    </row>
    <row r="126" spans="1:25" s="40" customFormat="1" ht="39.950000000000003" customHeight="1" x14ac:dyDescent="0.25">
      <c r="A126" s="49">
        <v>2</v>
      </c>
      <c r="B126" s="49" t="str">
        <f>B125</f>
        <v>H D Kote</v>
      </c>
      <c r="C126" s="49" t="str">
        <f t="shared" ref="C126:J127" si="289">C125</f>
        <v>HDKOTE/1714</v>
      </c>
      <c r="D126" s="49" t="str">
        <f t="shared" si="289"/>
        <v>Sub-division Office</v>
      </c>
      <c r="E126" s="49" t="str">
        <f t="shared" si="289"/>
        <v>HKQ1</v>
      </c>
      <c r="F126" s="49">
        <f t="shared" si="289"/>
        <v>5</v>
      </c>
      <c r="G126" s="49" t="str">
        <f t="shared" si="289"/>
        <v>GOVT</v>
      </c>
      <c r="H126" s="49" t="str">
        <f t="shared" si="289"/>
        <v>IPDS</v>
      </c>
      <c r="I126" s="49">
        <f t="shared" si="289"/>
        <v>5</v>
      </c>
      <c r="J126" s="49" t="str">
        <f t="shared" si="289"/>
        <v>LT3(I)</v>
      </c>
      <c r="K126" s="84">
        <f>'HKQ1'!Q32</f>
        <v>4427.3</v>
      </c>
      <c r="L126" s="84">
        <f>'HKQ1'!P32</f>
        <v>4622.8999999999996</v>
      </c>
      <c r="M126" s="84">
        <f>'[1]April-18'!M32</f>
        <v>1</v>
      </c>
      <c r="N126" s="84">
        <f t="shared" ref="N126" si="290">(L126-K126)*M126</f>
        <v>195.59999999999945</v>
      </c>
      <c r="O126" s="84">
        <f>'HKQ1'!F32</f>
        <v>2459</v>
      </c>
      <c r="P126" s="84">
        <f>'HKQ1'!E32</f>
        <v>2560</v>
      </c>
      <c r="Q126" s="84">
        <f>Q125</f>
        <v>1</v>
      </c>
      <c r="R126" s="84">
        <f t="shared" ref="R126" si="291">(P126-O126)*Q126</f>
        <v>101</v>
      </c>
      <c r="S126" s="84">
        <f>'HKQ1'!K32</f>
        <v>2382</v>
      </c>
      <c r="T126" s="84">
        <f>'HKQ1'!J32</f>
        <v>2475.5</v>
      </c>
      <c r="U126" s="84">
        <f>'[1]April-18'!U32</f>
        <v>1</v>
      </c>
      <c r="V126" s="84">
        <f t="shared" ref="V126" si="292">(T126-S126)*U126</f>
        <v>93.5</v>
      </c>
      <c r="W126" s="85">
        <f t="shared" si="231"/>
        <v>1.3039999999999963</v>
      </c>
      <c r="X126" s="84"/>
      <c r="Y126" s="82" t="str">
        <f>'HKQ1'!B32</f>
        <v>01.09.2019</v>
      </c>
    </row>
    <row r="127" spans="1:25" s="40" customFormat="1" ht="39.950000000000003" customHeight="1" x14ac:dyDescent="0.25">
      <c r="A127" s="49">
        <v>3</v>
      </c>
      <c r="B127" s="49" t="str">
        <f>B126</f>
        <v>H D Kote</v>
      </c>
      <c r="C127" s="49" t="str">
        <f t="shared" si="289"/>
        <v>HDKOTE/1714</v>
      </c>
      <c r="D127" s="49" t="str">
        <f t="shared" si="289"/>
        <v>Sub-division Office</v>
      </c>
      <c r="E127" s="49" t="str">
        <f t="shared" si="289"/>
        <v>HKQ1</v>
      </c>
      <c r="F127" s="49">
        <f t="shared" si="289"/>
        <v>5</v>
      </c>
      <c r="G127" s="49" t="str">
        <f t="shared" si="289"/>
        <v>GOVT</v>
      </c>
      <c r="H127" s="49" t="str">
        <f t="shared" si="289"/>
        <v>IPDS</v>
      </c>
      <c r="I127" s="49">
        <f t="shared" si="289"/>
        <v>5</v>
      </c>
      <c r="J127" s="49" t="str">
        <f t="shared" si="289"/>
        <v>LT3(I)</v>
      </c>
      <c r="K127" s="84">
        <f>'HKQ1'!Q33</f>
        <v>4622.8999999999996</v>
      </c>
      <c r="L127" s="84">
        <f>'HKQ1'!P33</f>
        <v>4833.6000000000004</v>
      </c>
      <c r="M127" s="84">
        <f>M126</f>
        <v>1</v>
      </c>
      <c r="N127" s="84">
        <f t="shared" ref="N127" si="293">(L127-K127)*M127</f>
        <v>210.70000000000073</v>
      </c>
      <c r="O127" s="84">
        <f>'HKQ1'!F33</f>
        <v>2560</v>
      </c>
      <c r="P127" s="84">
        <f>'HKQ1'!E33</f>
        <v>2654</v>
      </c>
      <c r="Q127" s="84">
        <f>Q126</f>
        <v>1</v>
      </c>
      <c r="R127" s="84">
        <f t="shared" ref="R127" si="294">(P127-O127)*Q127</f>
        <v>94</v>
      </c>
      <c r="S127" s="84">
        <f>'HKQ1'!K33</f>
        <v>2475.5</v>
      </c>
      <c r="T127" s="84">
        <f>'HKQ1'!J33</f>
        <v>2596.6999999999998</v>
      </c>
      <c r="U127" s="84">
        <f>U126</f>
        <v>1</v>
      </c>
      <c r="V127" s="84">
        <f t="shared" ref="V127" si="295">(T127-S127)*U127</f>
        <v>121.19999999999982</v>
      </c>
      <c r="W127" s="85">
        <f t="shared" si="231"/>
        <v>1.4046666666666714</v>
      </c>
      <c r="X127" s="84"/>
      <c r="Y127" s="82" t="str">
        <f>'HKQ1'!B33</f>
        <v>01.10.2019</v>
      </c>
    </row>
    <row r="128" spans="1:25" s="40" customFormat="1" ht="39.950000000000003" customHeight="1" x14ac:dyDescent="0.25">
      <c r="A128" s="49">
        <v>4</v>
      </c>
      <c r="B128" s="49" t="str">
        <f t="shared" ref="B128:J131" si="296">B127</f>
        <v>H D Kote</v>
      </c>
      <c r="C128" s="49" t="str">
        <f t="shared" si="296"/>
        <v>HDKOTE/1714</v>
      </c>
      <c r="D128" s="49" t="str">
        <f t="shared" si="296"/>
        <v>Sub-division Office</v>
      </c>
      <c r="E128" s="49" t="str">
        <f t="shared" si="296"/>
        <v>HKQ1</v>
      </c>
      <c r="F128" s="49">
        <f t="shared" si="296"/>
        <v>5</v>
      </c>
      <c r="G128" s="49" t="str">
        <f t="shared" si="296"/>
        <v>GOVT</v>
      </c>
      <c r="H128" s="49" t="str">
        <f t="shared" si="296"/>
        <v>IPDS</v>
      </c>
      <c r="I128" s="49">
        <f t="shared" si="296"/>
        <v>5</v>
      </c>
      <c r="J128" s="49" t="str">
        <f t="shared" si="296"/>
        <v>LT3(I)</v>
      </c>
      <c r="K128" s="84">
        <f>'HKQ1'!Q34</f>
        <v>4833.6000000000004</v>
      </c>
      <c r="L128" s="84">
        <f>'HKQ1'!P34</f>
        <v>5073</v>
      </c>
      <c r="M128" s="84">
        <f t="shared" ref="M128:M131" si="297">M127</f>
        <v>1</v>
      </c>
      <c r="N128" s="84">
        <f t="shared" ref="N128:N129" si="298">(L128-K128)*M128</f>
        <v>239.39999999999964</v>
      </c>
      <c r="O128" s="84">
        <f>'HKQ1'!F34</f>
        <v>2654</v>
      </c>
      <c r="P128" s="84">
        <f>'HKQ1'!E34</f>
        <v>2770.6</v>
      </c>
      <c r="Q128" s="84">
        <f t="shared" ref="Q128:Q131" si="299">Q127</f>
        <v>1</v>
      </c>
      <c r="R128" s="84">
        <f t="shared" ref="R128:R129" si="300">(P128-O128)*Q128</f>
        <v>116.59999999999991</v>
      </c>
      <c r="S128" s="84">
        <f>'HKQ1'!K34</f>
        <v>2596.6999999999998</v>
      </c>
      <c r="T128" s="84">
        <f>'HKQ1'!J34</f>
        <v>2716.7</v>
      </c>
      <c r="U128" s="84">
        <f t="shared" ref="U128:U131" si="301">U127</f>
        <v>1</v>
      </c>
      <c r="V128" s="84">
        <f t="shared" ref="V128:V129" si="302">(T128-S128)*U128</f>
        <v>120</v>
      </c>
      <c r="W128" s="85">
        <f t="shared" si="231"/>
        <v>1.5959999999999976</v>
      </c>
      <c r="X128" s="84"/>
      <c r="Y128" s="82" t="str">
        <f>'HKQ1'!B34</f>
        <v>01.11.2019</v>
      </c>
    </row>
    <row r="129" spans="1:25" s="40" customFormat="1" ht="39.950000000000003" customHeight="1" x14ac:dyDescent="0.25">
      <c r="A129" s="49">
        <v>5</v>
      </c>
      <c r="B129" s="49" t="str">
        <f t="shared" si="296"/>
        <v>H D Kote</v>
      </c>
      <c r="C129" s="49" t="str">
        <f t="shared" si="296"/>
        <v>HDKOTE/1714</v>
      </c>
      <c r="D129" s="49" t="str">
        <f t="shared" si="296"/>
        <v>Sub-division Office</v>
      </c>
      <c r="E129" s="49" t="str">
        <f t="shared" si="296"/>
        <v>HKQ1</v>
      </c>
      <c r="F129" s="49">
        <f t="shared" si="296"/>
        <v>5</v>
      </c>
      <c r="G129" s="49" t="str">
        <f t="shared" si="296"/>
        <v>GOVT</v>
      </c>
      <c r="H129" s="49" t="str">
        <f t="shared" si="296"/>
        <v>IPDS</v>
      </c>
      <c r="I129" s="49">
        <f t="shared" si="296"/>
        <v>5</v>
      </c>
      <c r="J129" s="49" t="str">
        <f t="shared" si="296"/>
        <v>LT3(I)</v>
      </c>
      <c r="K129" s="84">
        <f>'HKQ1'!Q35</f>
        <v>5073</v>
      </c>
      <c r="L129" s="84">
        <f>'HKQ1'!P35</f>
        <v>5375</v>
      </c>
      <c r="M129" s="84">
        <f t="shared" si="297"/>
        <v>1</v>
      </c>
      <c r="N129" s="84">
        <f t="shared" si="298"/>
        <v>302</v>
      </c>
      <c r="O129" s="84">
        <f>'HKQ1'!F35</f>
        <v>2770.6</v>
      </c>
      <c r="P129" s="84">
        <f>'HKQ1'!E35</f>
        <v>2894.6</v>
      </c>
      <c r="Q129" s="84">
        <f t="shared" si="299"/>
        <v>1</v>
      </c>
      <c r="R129" s="84">
        <f t="shared" si="300"/>
        <v>124</v>
      </c>
      <c r="S129" s="84">
        <f>'HKQ1'!K35</f>
        <v>2716.7</v>
      </c>
      <c r="T129" s="84">
        <f>'HKQ1'!J35</f>
        <v>2886.7</v>
      </c>
      <c r="U129" s="84">
        <f t="shared" si="301"/>
        <v>1</v>
      </c>
      <c r="V129" s="84">
        <f t="shared" si="302"/>
        <v>170</v>
      </c>
      <c r="W129" s="85">
        <f t="shared" si="231"/>
        <v>2.0133333333333332</v>
      </c>
      <c r="X129" s="84"/>
      <c r="Y129" s="82" t="str">
        <f>'HKQ1'!B35</f>
        <v>01.12.2019</v>
      </c>
    </row>
    <row r="130" spans="1:25" s="40" customFormat="1" ht="39.950000000000003" customHeight="1" x14ac:dyDescent="0.25">
      <c r="A130" s="49">
        <v>6</v>
      </c>
      <c r="B130" s="49" t="str">
        <f t="shared" si="296"/>
        <v>H D Kote</v>
      </c>
      <c r="C130" s="49" t="str">
        <f t="shared" si="296"/>
        <v>HDKOTE/1714</v>
      </c>
      <c r="D130" s="49" t="str">
        <f t="shared" si="296"/>
        <v>Sub-division Office</v>
      </c>
      <c r="E130" s="49" t="str">
        <f t="shared" si="296"/>
        <v>HKQ1</v>
      </c>
      <c r="F130" s="49">
        <f t="shared" si="296"/>
        <v>5</v>
      </c>
      <c r="G130" s="49" t="str">
        <f t="shared" si="296"/>
        <v>GOVT</v>
      </c>
      <c r="H130" s="49" t="str">
        <f t="shared" si="296"/>
        <v>IPDS</v>
      </c>
      <c r="I130" s="49">
        <f t="shared" si="296"/>
        <v>5</v>
      </c>
      <c r="J130" s="49" t="str">
        <f t="shared" si="296"/>
        <v>LT3(I)</v>
      </c>
      <c r="K130" s="84">
        <f>'HKQ1'!Q36</f>
        <v>5375</v>
      </c>
      <c r="L130" s="84">
        <f>'HKQ1'!P36</f>
        <v>5706.8</v>
      </c>
      <c r="M130" s="84">
        <f t="shared" si="297"/>
        <v>1</v>
      </c>
      <c r="N130" s="84">
        <f t="shared" ref="N130:N131" si="303">(L130-K130)*M130</f>
        <v>331.80000000000018</v>
      </c>
      <c r="O130" s="84">
        <f>'HKQ1'!F36</f>
        <v>2894.6</v>
      </c>
      <c r="P130" s="84">
        <f>'HKQ1'!E36</f>
        <v>3017.6</v>
      </c>
      <c r="Q130" s="84">
        <f t="shared" si="299"/>
        <v>1</v>
      </c>
      <c r="R130" s="84">
        <f t="shared" ref="R130:R131" si="304">(P130-O130)*Q130</f>
        <v>123</v>
      </c>
      <c r="S130" s="84">
        <f>'HKQ1'!K36</f>
        <v>2886.7</v>
      </c>
      <c r="T130" s="84">
        <f>'HKQ1'!J36</f>
        <v>3091.9</v>
      </c>
      <c r="U130" s="84">
        <f t="shared" si="301"/>
        <v>1</v>
      </c>
      <c r="V130" s="84">
        <f t="shared" ref="V130:V131" si="305">(T130-S130)*U130</f>
        <v>205.20000000000027</v>
      </c>
      <c r="W130" s="85">
        <f t="shared" ref="W130:W131" si="306">N130/30/I130</f>
        <v>2.2120000000000011</v>
      </c>
      <c r="X130" s="84"/>
      <c r="Y130" s="82" t="str">
        <f>'HKQ1'!B36</f>
        <v>01.01.2020</v>
      </c>
    </row>
    <row r="131" spans="1:25" s="40" customFormat="1" ht="39.950000000000003" customHeight="1" x14ac:dyDescent="0.25">
      <c r="A131" s="49">
        <v>7</v>
      </c>
      <c r="B131" s="49" t="str">
        <f t="shared" si="296"/>
        <v>H D Kote</v>
      </c>
      <c r="C131" s="49" t="str">
        <f t="shared" si="296"/>
        <v>HDKOTE/1714</v>
      </c>
      <c r="D131" s="49" t="str">
        <f t="shared" si="296"/>
        <v>Sub-division Office</v>
      </c>
      <c r="E131" s="49" t="str">
        <f t="shared" si="296"/>
        <v>HKQ1</v>
      </c>
      <c r="F131" s="49">
        <f t="shared" si="296"/>
        <v>5</v>
      </c>
      <c r="G131" s="49" t="str">
        <f t="shared" si="296"/>
        <v>GOVT</v>
      </c>
      <c r="H131" s="49" t="str">
        <f t="shared" si="296"/>
        <v>IPDS</v>
      </c>
      <c r="I131" s="49">
        <f t="shared" si="296"/>
        <v>5</v>
      </c>
      <c r="J131" s="49" t="str">
        <f t="shared" si="296"/>
        <v>LT3(I)</v>
      </c>
      <c r="K131" s="84">
        <f>'HKQ1'!Q37</f>
        <v>5706.8</v>
      </c>
      <c r="L131" s="84">
        <f>'HKQ1'!P37</f>
        <v>6057.6</v>
      </c>
      <c r="M131" s="84">
        <f t="shared" si="297"/>
        <v>1</v>
      </c>
      <c r="N131" s="84">
        <f t="shared" si="303"/>
        <v>350.80000000000018</v>
      </c>
      <c r="O131" s="84">
        <f>'HKQ1'!F37</f>
        <v>3017.6</v>
      </c>
      <c r="P131" s="84">
        <f>'HKQ1'!E37</f>
        <v>3110</v>
      </c>
      <c r="Q131" s="84">
        <f t="shared" si="299"/>
        <v>1</v>
      </c>
      <c r="R131" s="84">
        <f t="shared" si="304"/>
        <v>92.400000000000091</v>
      </c>
      <c r="S131" s="84">
        <f>'HKQ1'!K37</f>
        <v>3091.9</v>
      </c>
      <c r="T131" s="84">
        <f>'HKQ1'!J37</f>
        <v>3330.5</v>
      </c>
      <c r="U131" s="84">
        <f t="shared" si="301"/>
        <v>1</v>
      </c>
      <c r="V131" s="84">
        <f t="shared" si="305"/>
        <v>238.59999999999991</v>
      </c>
      <c r="W131" s="85">
        <f t="shared" si="306"/>
        <v>2.3386666666666676</v>
      </c>
      <c r="X131" s="84"/>
      <c r="Y131" s="82" t="s">
        <v>253</v>
      </c>
    </row>
    <row r="132" spans="1:25" s="40" customFormat="1" ht="39.950000000000003" customHeight="1" x14ac:dyDescent="0.25">
      <c r="A132" s="49">
        <v>1</v>
      </c>
      <c r="B132" s="49" t="s">
        <v>43</v>
      </c>
      <c r="C132" s="57" t="s">
        <v>229</v>
      </c>
      <c r="D132" s="59" t="s">
        <v>233</v>
      </c>
      <c r="E132" s="55" t="s">
        <v>234</v>
      </c>
      <c r="F132" s="50">
        <v>8</v>
      </c>
      <c r="G132" s="49" t="s">
        <v>221</v>
      </c>
      <c r="H132" s="64" t="s">
        <v>222</v>
      </c>
      <c r="I132" s="49">
        <v>5</v>
      </c>
      <c r="J132" s="49" t="s">
        <v>95</v>
      </c>
      <c r="K132" s="84">
        <f>HDTL60092!Q31</f>
        <v>22303.3</v>
      </c>
      <c r="L132" s="84">
        <f>HDTL60092!P31</f>
        <v>22628.9</v>
      </c>
      <c r="M132" s="84">
        <f>'[1]April-18'!M32</f>
        <v>1</v>
      </c>
      <c r="N132" s="84">
        <f t="shared" si="0"/>
        <v>325.60000000000218</v>
      </c>
      <c r="O132" s="84">
        <f>HDTL60092!F31</f>
        <v>9164.2999999999993</v>
      </c>
      <c r="P132" s="84">
        <f>HDTL60092!E31</f>
        <v>9778.4</v>
      </c>
      <c r="Q132" s="84">
        <v>1</v>
      </c>
      <c r="R132" s="84">
        <f t="shared" si="16"/>
        <v>614.10000000000036</v>
      </c>
      <c r="S132" s="84">
        <f>HDTL60092!K31</f>
        <v>4309.3999999999996</v>
      </c>
      <c r="T132" s="84">
        <f>HDTL60092!J31</f>
        <v>4443.1000000000004</v>
      </c>
      <c r="U132" s="84">
        <f>'[1]April-18'!U32</f>
        <v>1</v>
      </c>
      <c r="V132" s="84">
        <f t="shared" si="17"/>
        <v>133.70000000000073</v>
      </c>
      <c r="W132" s="85">
        <f t="shared" si="231"/>
        <v>2.1706666666666812</v>
      </c>
      <c r="X132" s="84"/>
      <c r="Y132" s="82" t="str">
        <f>HDTL60092!B31</f>
        <v>01.08.2019</v>
      </c>
    </row>
    <row r="133" spans="1:25" s="40" customFormat="1" ht="39.950000000000003" customHeight="1" x14ac:dyDescent="0.25">
      <c r="A133" s="49">
        <v>2</v>
      </c>
      <c r="B133" s="49" t="str">
        <f>B132</f>
        <v>H D Kote</v>
      </c>
      <c r="C133" s="49" t="str">
        <f t="shared" ref="C133:J134" si="307">C132</f>
        <v>HDKOTE/1714</v>
      </c>
      <c r="D133" s="49" t="str">
        <f t="shared" si="307"/>
        <v>ST Boys Hostel</v>
      </c>
      <c r="E133" s="49" t="str">
        <f t="shared" si="307"/>
        <v>HKHDTL - 60092</v>
      </c>
      <c r="F133" s="49">
        <f t="shared" si="307"/>
        <v>8</v>
      </c>
      <c r="G133" s="49" t="str">
        <f t="shared" si="307"/>
        <v>GOVT</v>
      </c>
      <c r="H133" s="49" t="str">
        <f t="shared" si="307"/>
        <v>IPDS</v>
      </c>
      <c r="I133" s="49">
        <f t="shared" si="307"/>
        <v>5</v>
      </c>
      <c r="J133" s="49" t="str">
        <f t="shared" si="307"/>
        <v>LT2A(I)</v>
      </c>
      <c r="K133" s="84">
        <f>HDTL60092!Q32</f>
        <v>22628.9</v>
      </c>
      <c r="L133" s="84">
        <f>HDTL60092!P32</f>
        <v>22929</v>
      </c>
      <c r="M133" s="84">
        <f t="shared" ref="M133:M138" si="308">M126</f>
        <v>1</v>
      </c>
      <c r="N133" s="84">
        <f t="shared" ref="N133" si="309">(L133-K133)*M133</f>
        <v>300.09999999999854</v>
      </c>
      <c r="O133" s="84">
        <f>HDTL60092!F32</f>
        <v>9778.4</v>
      </c>
      <c r="P133" s="84">
        <f>HDTL60092!E32</f>
        <v>10309.6</v>
      </c>
      <c r="Q133" s="84">
        <f>Q132</f>
        <v>1</v>
      </c>
      <c r="R133" s="84">
        <f t="shared" ref="R133" si="310">(P133-O133)*Q133</f>
        <v>531.20000000000073</v>
      </c>
      <c r="S133" s="84">
        <f>HDTL60092!K32</f>
        <v>4443.1000000000004</v>
      </c>
      <c r="T133" s="84">
        <f>HDTL60092!J32</f>
        <v>4612.7</v>
      </c>
      <c r="U133" s="84">
        <f t="shared" ref="U133:U138" si="311">U126</f>
        <v>1</v>
      </c>
      <c r="V133" s="84">
        <f t="shared" ref="V133" si="312">(T133-S133)*U133</f>
        <v>169.59999999999945</v>
      </c>
      <c r="W133" s="85">
        <f t="shared" si="231"/>
        <v>2.0006666666666568</v>
      </c>
      <c r="X133" s="84"/>
      <c r="Y133" s="82" t="str">
        <f>HDTL60092!B32</f>
        <v>01.09.2019</v>
      </c>
    </row>
    <row r="134" spans="1:25" s="40" customFormat="1" ht="39.950000000000003" customHeight="1" x14ac:dyDescent="0.25">
      <c r="A134" s="49">
        <v>3</v>
      </c>
      <c r="B134" s="49" t="str">
        <f>B133</f>
        <v>H D Kote</v>
      </c>
      <c r="C134" s="49" t="str">
        <f t="shared" si="307"/>
        <v>HDKOTE/1714</v>
      </c>
      <c r="D134" s="49" t="str">
        <f t="shared" si="307"/>
        <v>ST Boys Hostel</v>
      </c>
      <c r="E134" s="49" t="str">
        <f t="shared" si="307"/>
        <v>HKHDTL - 60092</v>
      </c>
      <c r="F134" s="49">
        <f t="shared" si="307"/>
        <v>8</v>
      </c>
      <c r="G134" s="49" t="str">
        <f t="shared" si="307"/>
        <v>GOVT</v>
      </c>
      <c r="H134" s="49" t="str">
        <f t="shared" si="307"/>
        <v>IPDS</v>
      </c>
      <c r="I134" s="49">
        <f t="shared" si="307"/>
        <v>5</v>
      </c>
      <c r="J134" s="49" t="str">
        <f t="shared" si="307"/>
        <v>LT2A(I)</v>
      </c>
      <c r="K134" s="84">
        <f>HDTL60092!Q33</f>
        <v>22929</v>
      </c>
      <c r="L134" s="84">
        <f>HDTL60092!P33</f>
        <v>23294.3</v>
      </c>
      <c r="M134" s="84">
        <f t="shared" si="308"/>
        <v>1</v>
      </c>
      <c r="N134" s="84">
        <f t="shared" ref="N134" si="313">(L134-K134)*M134</f>
        <v>365.29999999999927</v>
      </c>
      <c r="O134" s="84">
        <f>HDTL60092!F33</f>
        <v>10309.6</v>
      </c>
      <c r="P134" s="84">
        <f>HDTL60092!E33</f>
        <v>10915</v>
      </c>
      <c r="Q134" s="84">
        <f>Q133</f>
        <v>1</v>
      </c>
      <c r="R134" s="84">
        <f t="shared" ref="R134" si="314">(P134-O134)*Q134</f>
        <v>605.39999999999964</v>
      </c>
      <c r="S134" s="84">
        <f>HDTL60092!K33</f>
        <v>4612.7</v>
      </c>
      <c r="T134" s="84">
        <f>HDTL60092!J33</f>
        <v>4846.5</v>
      </c>
      <c r="U134" s="84">
        <f t="shared" si="311"/>
        <v>1</v>
      </c>
      <c r="V134" s="84">
        <f t="shared" ref="V134" si="315">(T134-S134)*U134</f>
        <v>233.80000000000018</v>
      </c>
      <c r="W134" s="85">
        <f t="shared" si="231"/>
        <v>2.4353333333333285</v>
      </c>
      <c r="X134" s="84"/>
      <c r="Y134" s="82" t="str">
        <f>HDTL60092!B33</f>
        <v>01.10.2019</v>
      </c>
    </row>
    <row r="135" spans="1:25" s="40" customFormat="1" ht="39.950000000000003" customHeight="1" x14ac:dyDescent="0.25">
      <c r="A135" s="49">
        <v>4</v>
      </c>
      <c r="B135" s="49" t="str">
        <f t="shared" ref="B135:J138" si="316">B134</f>
        <v>H D Kote</v>
      </c>
      <c r="C135" s="49" t="str">
        <f t="shared" si="316"/>
        <v>HDKOTE/1714</v>
      </c>
      <c r="D135" s="49" t="str">
        <f t="shared" si="316"/>
        <v>ST Boys Hostel</v>
      </c>
      <c r="E135" s="49" t="str">
        <f t="shared" si="316"/>
        <v>HKHDTL - 60092</v>
      </c>
      <c r="F135" s="49">
        <f t="shared" si="316"/>
        <v>8</v>
      </c>
      <c r="G135" s="49" t="str">
        <f t="shared" si="316"/>
        <v>GOVT</v>
      </c>
      <c r="H135" s="49" t="str">
        <f t="shared" si="316"/>
        <v>IPDS</v>
      </c>
      <c r="I135" s="49">
        <f t="shared" si="316"/>
        <v>5</v>
      </c>
      <c r="J135" s="49" t="str">
        <f t="shared" si="316"/>
        <v>LT2A(I)</v>
      </c>
      <c r="K135" s="84">
        <f>HDTL60092!Q34</f>
        <v>23294.3</v>
      </c>
      <c r="L135" s="84">
        <f>HDTL60092!P34</f>
        <v>23679.200000000001</v>
      </c>
      <c r="M135" s="84">
        <f t="shared" si="308"/>
        <v>1</v>
      </c>
      <c r="N135" s="84">
        <f t="shared" ref="N135:N136" si="317">(L135-K135)*M135</f>
        <v>384.90000000000146</v>
      </c>
      <c r="O135" s="84">
        <f>HDTL60092!F34</f>
        <v>10915</v>
      </c>
      <c r="P135" s="84">
        <f>HDTL60092!E34</f>
        <v>11075.8</v>
      </c>
      <c r="Q135" s="84">
        <f t="shared" ref="Q135:Q138" si="318">Q134</f>
        <v>1</v>
      </c>
      <c r="R135" s="84">
        <f t="shared" ref="R135:R136" si="319">(P135-O135)*Q135</f>
        <v>160.79999999999927</v>
      </c>
      <c r="S135" s="84">
        <f>HDTL60092!K34</f>
        <v>4846.5</v>
      </c>
      <c r="T135" s="84">
        <f>HDTL60092!J34</f>
        <v>5182.7</v>
      </c>
      <c r="U135" s="84">
        <f t="shared" si="311"/>
        <v>1</v>
      </c>
      <c r="V135" s="84">
        <f t="shared" ref="V135:V136" si="320">(T135-S135)*U135</f>
        <v>336.19999999999982</v>
      </c>
      <c r="W135" s="85">
        <f t="shared" si="231"/>
        <v>2.5660000000000096</v>
      </c>
      <c r="X135" s="84"/>
      <c r="Y135" s="82" t="str">
        <f>HDTL60092!B34</f>
        <v>01.11.2019</v>
      </c>
    </row>
    <row r="136" spans="1:25" s="40" customFormat="1" ht="39.950000000000003" customHeight="1" x14ac:dyDescent="0.25">
      <c r="A136" s="49">
        <v>5</v>
      </c>
      <c r="B136" s="49" t="str">
        <f t="shared" si="316"/>
        <v>H D Kote</v>
      </c>
      <c r="C136" s="49" t="str">
        <f t="shared" si="316"/>
        <v>HDKOTE/1714</v>
      </c>
      <c r="D136" s="49" t="str">
        <f t="shared" si="316"/>
        <v>ST Boys Hostel</v>
      </c>
      <c r="E136" s="49" t="str">
        <f t="shared" si="316"/>
        <v>HKHDTL - 60092</v>
      </c>
      <c r="F136" s="49">
        <f t="shared" si="316"/>
        <v>8</v>
      </c>
      <c r="G136" s="49" t="str">
        <f t="shared" si="316"/>
        <v>GOVT</v>
      </c>
      <c r="H136" s="49" t="str">
        <f t="shared" si="316"/>
        <v>IPDS</v>
      </c>
      <c r="I136" s="49">
        <f t="shared" si="316"/>
        <v>5</v>
      </c>
      <c r="J136" s="49" t="str">
        <f t="shared" si="316"/>
        <v>LT2A(I)</v>
      </c>
      <c r="K136" s="84">
        <f>HDTL60092!Q35</f>
        <v>23679.200000000001</v>
      </c>
      <c r="L136" s="84">
        <f>HDTL60092!P35</f>
        <v>23960</v>
      </c>
      <c r="M136" s="84">
        <f t="shared" si="308"/>
        <v>1</v>
      </c>
      <c r="N136" s="84">
        <f t="shared" si="317"/>
        <v>280.79999999999927</v>
      </c>
      <c r="O136" s="84">
        <f>HDTL60092!F35</f>
        <v>11075.8</v>
      </c>
      <c r="P136" s="84">
        <f>HDTL60092!E35</f>
        <v>11661.8</v>
      </c>
      <c r="Q136" s="84">
        <f t="shared" si="318"/>
        <v>1</v>
      </c>
      <c r="R136" s="84">
        <f t="shared" si="319"/>
        <v>586</v>
      </c>
      <c r="S136" s="84">
        <f>HDTL60092!K35</f>
        <v>5182.7</v>
      </c>
      <c r="T136" s="84">
        <f>HDTL60092!J35</f>
        <v>5395</v>
      </c>
      <c r="U136" s="84">
        <f t="shared" si="311"/>
        <v>1</v>
      </c>
      <c r="V136" s="84">
        <f t="shared" si="320"/>
        <v>212.30000000000018</v>
      </c>
      <c r="W136" s="85">
        <f t="shared" si="231"/>
        <v>1.8719999999999952</v>
      </c>
      <c r="X136" s="84"/>
      <c r="Y136" s="82" t="str">
        <f>HDTL60092!B35</f>
        <v>01.12.2019</v>
      </c>
    </row>
    <row r="137" spans="1:25" s="40" customFormat="1" ht="39.950000000000003" customHeight="1" x14ac:dyDescent="0.25">
      <c r="A137" s="49">
        <v>6</v>
      </c>
      <c r="B137" s="49" t="str">
        <f t="shared" si="316"/>
        <v>H D Kote</v>
      </c>
      <c r="C137" s="49" t="str">
        <f t="shared" si="316"/>
        <v>HDKOTE/1714</v>
      </c>
      <c r="D137" s="49" t="str">
        <f t="shared" si="316"/>
        <v>ST Boys Hostel</v>
      </c>
      <c r="E137" s="49" t="str">
        <f t="shared" si="316"/>
        <v>HKHDTL - 60092</v>
      </c>
      <c r="F137" s="49">
        <f t="shared" si="316"/>
        <v>8</v>
      </c>
      <c r="G137" s="49" t="str">
        <f t="shared" si="316"/>
        <v>GOVT</v>
      </c>
      <c r="H137" s="49" t="str">
        <f t="shared" si="316"/>
        <v>IPDS</v>
      </c>
      <c r="I137" s="49">
        <f t="shared" si="316"/>
        <v>5</v>
      </c>
      <c r="J137" s="49" t="str">
        <f t="shared" si="316"/>
        <v>LT2A(I)</v>
      </c>
      <c r="K137" s="84">
        <f>HDTL60092!Q36</f>
        <v>23960</v>
      </c>
      <c r="L137" s="84">
        <f>HDTL60092!P36</f>
        <v>24259</v>
      </c>
      <c r="M137" s="84">
        <f t="shared" si="308"/>
        <v>1</v>
      </c>
      <c r="N137" s="84">
        <f t="shared" ref="N137:N138" si="321">(L137-K137)*M137</f>
        <v>299</v>
      </c>
      <c r="O137" s="84">
        <f>HDTL60092!F36</f>
        <v>11661.8</v>
      </c>
      <c r="P137" s="84">
        <f>HDTL60092!E36</f>
        <v>12150</v>
      </c>
      <c r="Q137" s="84">
        <f t="shared" si="318"/>
        <v>1</v>
      </c>
      <c r="R137" s="84">
        <f t="shared" ref="R137:R138" si="322">(P137-O137)*Q137</f>
        <v>488.20000000000073</v>
      </c>
      <c r="S137" s="84">
        <f>HDTL60092!K36</f>
        <v>5395</v>
      </c>
      <c r="T137" s="84">
        <f>HDTL60092!J36</f>
        <v>5605</v>
      </c>
      <c r="U137" s="84">
        <f t="shared" si="311"/>
        <v>1</v>
      </c>
      <c r="V137" s="84">
        <f t="shared" ref="V137:V138" si="323">(T137-S137)*U137</f>
        <v>210</v>
      </c>
      <c r="W137" s="85">
        <f t="shared" ref="W137:W138" si="324">N137/30/I137</f>
        <v>1.9933333333333334</v>
      </c>
      <c r="X137" s="84"/>
      <c r="Y137" s="82" t="str">
        <f>HDTL60092!B36</f>
        <v>01.01.2020</v>
      </c>
    </row>
    <row r="138" spans="1:25" s="40" customFormat="1" ht="39.950000000000003" customHeight="1" x14ac:dyDescent="0.25">
      <c r="A138" s="49">
        <v>7</v>
      </c>
      <c r="B138" s="49" t="str">
        <f t="shared" si="316"/>
        <v>H D Kote</v>
      </c>
      <c r="C138" s="49" t="str">
        <f t="shared" si="316"/>
        <v>HDKOTE/1714</v>
      </c>
      <c r="D138" s="49" t="str">
        <f t="shared" si="316"/>
        <v>ST Boys Hostel</v>
      </c>
      <c r="E138" s="49" t="str">
        <f t="shared" si="316"/>
        <v>HKHDTL - 60092</v>
      </c>
      <c r="F138" s="49">
        <f t="shared" si="316"/>
        <v>8</v>
      </c>
      <c r="G138" s="49" t="str">
        <f t="shared" si="316"/>
        <v>GOVT</v>
      </c>
      <c r="H138" s="49" t="str">
        <f t="shared" si="316"/>
        <v>IPDS</v>
      </c>
      <c r="I138" s="49">
        <f t="shared" si="316"/>
        <v>5</v>
      </c>
      <c r="J138" s="49" t="str">
        <f t="shared" si="316"/>
        <v>LT2A(I)</v>
      </c>
      <c r="K138" s="84">
        <f>HDTL60092!Q37</f>
        <v>24259</v>
      </c>
      <c r="L138" s="84">
        <f>HDTL60092!P37</f>
        <v>24360</v>
      </c>
      <c r="M138" s="84">
        <f t="shared" si="308"/>
        <v>1</v>
      </c>
      <c r="N138" s="84">
        <f t="shared" si="321"/>
        <v>101</v>
      </c>
      <c r="O138" s="84">
        <f>HDTL60092!F37</f>
        <v>12150</v>
      </c>
      <c r="P138" s="84">
        <f>HDTL60092!E37</f>
        <v>12719</v>
      </c>
      <c r="Q138" s="84">
        <f t="shared" si="318"/>
        <v>1</v>
      </c>
      <c r="R138" s="84">
        <f t="shared" si="322"/>
        <v>569</v>
      </c>
      <c r="S138" s="84">
        <f>HDTL60092!K37</f>
        <v>5605</v>
      </c>
      <c r="T138" s="84">
        <f>HDTL60092!J37</f>
        <v>5694</v>
      </c>
      <c r="U138" s="84">
        <f t="shared" si="311"/>
        <v>1</v>
      </c>
      <c r="V138" s="84">
        <f t="shared" si="323"/>
        <v>89</v>
      </c>
      <c r="W138" s="85">
        <f t="shared" si="324"/>
        <v>0.67333333333333334</v>
      </c>
      <c r="X138" s="84"/>
      <c r="Y138" s="82" t="s">
        <v>253</v>
      </c>
    </row>
    <row r="139" spans="1:25" s="40" customFormat="1" ht="39.950000000000003" customHeight="1" x14ac:dyDescent="0.25">
      <c r="A139" s="49"/>
      <c r="B139" s="49" t="s">
        <v>99</v>
      </c>
      <c r="C139" s="57" t="s">
        <v>235</v>
      </c>
      <c r="D139" s="59" t="s">
        <v>49</v>
      </c>
      <c r="E139" s="55" t="s">
        <v>50</v>
      </c>
      <c r="F139" s="50">
        <v>84</v>
      </c>
      <c r="G139" s="49" t="s">
        <v>101</v>
      </c>
      <c r="H139" s="53"/>
      <c r="I139" s="49" t="s">
        <v>236</v>
      </c>
      <c r="J139" s="49" t="s">
        <v>237</v>
      </c>
      <c r="K139" s="84">
        <f>HHDHT88!Q26</f>
        <v>78.2</v>
      </c>
      <c r="L139" s="84">
        <f>HHDHT88!P26</f>
        <v>80.900000000000006</v>
      </c>
      <c r="M139" s="84">
        <f>'[1]April-18'!M33</f>
        <v>500</v>
      </c>
      <c r="N139" s="84">
        <f t="shared" si="0"/>
        <v>1350.0000000000014</v>
      </c>
      <c r="O139" s="84">
        <f>HHDHT88!F26</f>
        <v>127.5</v>
      </c>
      <c r="P139" s="84">
        <f>HHDHT88!E26</f>
        <v>132.4</v>
      </c>
      <c r="Q139" s="84">
        <v>500</v>
      </c>
      <c r="R139" s="84">
        <f t="shared" si="16"/>
        <v>2450.0000000000027</v>
      </c>
      <c r="S139" s="84">
        <f>HHDHT88!K26</f>
        <v>78.2</v>
      </c>
      <c r="T139" s="84">
        <f>HHDHT88!J26</f>
        <v>80.900000000000006</v>
      </c>
      <c r="U139" s="84">
        <f>'[1]April-18'!U33</f>
        <v>500</v>
      </c>
      <c r="V139" s="84">
        <f t="shared" si="17"/>
        <v>1350.0000000000014</v>
      </c>
      <c r="W139" s="85">
        <f t="shared" ref="W139:W142" si="325">N139/73/30</f>
        <v>0.61643835616438414</v>
      </c>
      <c r="X139" s="84"/>
      <c r="Y139" s="82" t="str">
        <f>HHDHT88!B26</f>
        <v>01.07.2019</v>
      </c>
    </row>
    <row r="140" spans="1:25" ht="39.950000000000003" customHeight="1" x14ac:dyDescent="0.25">
      <c r="A140" s="49">
        <v>1</v>
      </c>
      <c r="B140" s="49" t="str">
        <f t="shared" ref="B140:J140" si="326">B139</f>
        <v>Alanahalli</v>
      </c>
      <c r="C140" s="49" t="str">
        <f t="shared" si="326"/>
        <v>Alanahalli/ 11H5</v>
      </c>
      <c r="D140" s="59" t="str">
        <f t="shared" si="326"/>
        <v>KB Kashinath, Sapthagiri Farms,Alanahalli Village, HD Kote Tq.</v>
      </c>
      <c r="E140" s="49" t="str">
        <f t="shared" si="326"/>
        <v>HHDHT88</v>
      </c>
      <c r="F140" s="49">
        <f t="shared" si="326"/>
        <v>84</v>
      </c>
      <c r="G140" s="49" t="str">
        <f t="shared" si="326"/>
        <v>Private</v>
      </c>
      <c r="H140" s="49">
        <f t="shared" si="326"/>
        <v>0</v>
      </c>
      <c r="I140" s="49" t="str">
        <f t="shared" si="326"/>
        <v>73KW</v>
      </c>
      <c r="J140" s="49" t="str">
        <f t="shared" si="326"/>
        <v>HT2A(II)</v>
      </c>
      <c r="K140" s="84">
        <f>HHDHT88!Q27</f>
        <v>80.900000000000006</v>
      </c>
      <c r="L140" s="84">
        <f>HHDHT88!P27</f>
        <v>82.9</v>
      </c>
      <c r="M140" s="84">
        <f>M139</f>
        <v>500</v>
      </c>
      <c r="N140" s="84">
        <f t="shared" ref="N140" si="327">(L140-K140)*M140</f>
        <v>1000</v>
      </c>
      <c r="O140" s="84">
        <f>HHDHT88!F27</f>
        <v>132.4</v>
      </c>
      <c r="P140" s="84">
        <f>HHDHT88!E27</f>
        <v>138.6</v>
      </c>
      <c r="Q140" s="84">
        <f>Q139</f>
        <v>500</v>
      </c>
      <c r="R140" s="84">
        <f t="shared" ref="R140" si="328">(P140-O140)*Q140</f>
        <v>3099.9999999999945</v>
      </c>
      <c r="S140" s="84">
        <f>HHDHT88!K27</f>
        <v>80.900000000000006</v>
      </c>
      <c r="T140" s="84">
        <f>HHDHT88!J27</f>
        <v>82.9</v>
      </c>
      <c r="U140" s="84">
        <f>U139</f>
        <v>500</v>
      </c>
      <c r="V140" s="84">
        <f t="shared" ref="V140" si="329">(T140-S140)*U140</f>
        <v>1000</v>
      </c>
      <c r="W140" s="85">
        <f t="shared" si="325"/>
        <v>0.45662100456621002</v>
      </c>
      <c r="X140" s="20"/>
      <c r="Y140" s="82" t="str">
        <f>HHDHT88!B27</f>
        <v>01.08.2019</v>
      </c>
    </row>
    <row r="141" spans="1:25" ht="39.950000000000003" customHeight="1" x14ac:dyDescent="0.25">
      <c r="A141" s="49">
        <v>2</v>
      </c>
      <c r="B141" s="49" t="str">
        <f t="shared" ref="B141:G141" si="330">B140</f>
        <v>Alanahalli</v>
      </c>
      <c r="C141" s="49" t="str">
        <f t="shared" si="330"/>
        <v>Alanahalli/ 11H5</v>
      </c>
      <c r="D141" s="59" t="str">
        <f t="shared" si="330"/>
        <v>KB Kashinath, Sapthagiri Farms,Alanahalli Village, HD Kote Tq.</v>
      </c>
      <c r="E141" s="49" t="str">
        <f t="shared" si="330"/>
        <v>HHDHT88</v>
      </c>
      <c r="F141" s="49">
        <f t="shared" si="330"/>
        <v>84</v>
      </c>
      <c r="G141" s="49" t="str">
        <f t="shared" si="330"/>
        <v>Private</v>
      </c>
      <c r="H141" s="49"/>
      <c r="I141" s="49" t="str">
        <f>I140</f>
        <v>73KW</v>
      </c>
      <c r="J141" s="49" t="str">
        <f>J140</f>
        <v>HT2A(II)</v>
      </c>
      <c r="K141" s="84">
        <f>HHDHT88!Q28</f>
        <v>82.9</v>
      </c>
      <c r="L141" s="84">
        <f>HHDHT88!P28</f>
        <v>84.6</v>
      </c>
      <c r="M141" s="84">
        <f>M140</f>
        <v>500</v>
      </c>
      <c r="N141" s="84">
        <f t="shared" ref="N141" si="331">(L141-K141)*M141</f>
        <v>849.99999999999432</v>
      </c>
      <c r="O141" s="84">
        <f>HHDHT88!F28</f>
        <v>138.6</v>
      </c>
      <c r="P141" s="84">
        <f>HHDHT88!E28</f>
        <v>143.9</v>
      </c>
      <c r="Q141" s="84">
        <f>Q140</f>
        <v>500</v>
      </c>
      <c r="R141" s="84">
        <f t="shared" ref="R141" si="332">(P141-O141)*Q141</f>
        <v>2650.0000000000055</v>
      </c>
      <c r="S141" s="84">
        <f>HHDHT88!K28</f>
        <v>82.9</v>
      </c>
      <c r="T141" s="84">
        <f>HHDHT88!J28</f>
        <v>84.6</v>
      </c>
      <c r="U141" s="84">
        <f>U140</f>
        <v>500</v>
      </c>
      <c r="V141" s="84">
        <f t="shared" ref="V141" si="333">(T141-S141)*U141</f>
        <v>849.99999999999432</v>
      </c>
      <c r="W141" s="85">
        <f t="shared" si="325"/>
        <v>0.38812785388127591</v>
      </c>
      <c r="X141" s="20"/>
      <c r="Y141" s="82" t="str">
        <f>HHDHT88!B28</f>
        <v>01.09.2019</v>
      </c>
    </row>
    <row r="142" spans="1:25" ht="39.950000000000003" customHeight="1" x14ac:dyDescent="0.25">
      <c r="A142" s="49">
        <v>3</v>
      </c>
      <c r="B142" s="49" t="str">
        <f>B141</f>
        <v>Alanahalli</v>
      </c>
      <c r="C142" s="49" t="str">
        <f t="shared" ref="C142:J142" si="334">C141</f>
        <v>Alanahalli/ 11H5</v>
      </c>
      <c r="D142" s="49" t="str">
        <f t="shared" si="334"/>
        <v>KB Kashinath, Sapthagiri Farms,Alanahalli Village, HD Kote Tq.</v>
      </c>
      <c r="E142" s="49" t="str">
        <f t="shared" si="334"/>
        <v>HHDHT88</v>
      </c>
      <c r="F142" s="49">
        <f t="shared" si="334"/>
        <v>84</v>
      </c>
      <c r="G142" s="49" t="str">
        <f t="shared" si="334"/>
        <v>Private</v>
      </c>
      <c r="H142" s="49"/>
      <c r="I142" s="49" t="str">
        <f t="shared" si="334"/>
        <v>73KW</v>
      </c>
      <c r="J142" s="49" t="str">
        <f t="shared" si="334"/>
        <v>HT2A(II)</v>
      </c>
      <c r="K142" s="84">
        <f>HHDHT88!Q29</f>
        <v>84.6</v>
      </c>
      <c r="L142" s="84">
        <f>HHDHT88!P29</f>
        <v>86.6</v>
      </c>
      <c r="M142" s="84">
        <f>M141</f>
        <v>500</v>
      </c>
      <c r="N142" s="84">
        <f t="shared" ref="N142" si="335">(L142-K142)*M142</f>
        <v>1000</v>
      </c>
      <c r="O142" s="84">
        <f>HHDHT88!F29</f>
        <v>143.9</v>
      </c>
      <c r="P142" s="84">
        <f>HHDHT88!E29</f>
        <v>148.4</v>
      </c>
      <c r="Q142" s="84">
        <f>Q141</f>
        <v>500</v>
      </c>
      <c r="R142" s="84">
        <f t="shared" ref="R142" si="336">(P142-O142)*Q142</f>
        <v>2250</v>
      </c>
      <c r="S142" s="84">
        <f>HHDHT88!K29</f>
        <v>84.6</v>
      </c>
      <c r="T142" s="84">
        <f>HHDHT88!J29</f>
        <v>86.6</v>
      </c>
      <c r="U142" s="84">
        <f>U141</f>
        <v>500</v>
      </c>
      <c r="V142" s="84">
        <f t="shared" ref="V142" si="337">(T142-S142)*U142</f>
        <v>1000</v>
      </c>
      <c r="W142" s="85">
        <f t="shared" si="325"/>
        <v>0.45662100456621002</v>
      </c>
      <c r="X142" s="20"/>
      <c r="Y142" s="82" t="str">
        <f>HHDHT88!B29</f>
        <v>01.10.2019</v>
      </c>
    </row>
    <row r="143" spans="1:25" ht="32.25" customHeight="1" x14ac:dyDescent="0.25">
      <c r="A143" s="49">
        <v>4</v>
      </c>
      <c r="B143" s="49" t="str">
        <f t="shared" ref="B143:G146" si="338">B142</f>
        <v>Alanahalli</v>
      </c>
      <c r="C143" s="49" t="str">
        <f t="shared" si="338"/>
        <v>Alanahalli/ 11H5</v>
      </c>
      <c r="D143" s="49" t="str">
        <f t="shared" si="338"/>
        <v>KB Kashinath, Sapthagiri Farms,Alanahalli Village, HD Kote Tq.</v>
      </c>
      <c r="E143" s="49" t="str">
        <f t="shared" si="338"/>
        <v>HHDHT88</v>
      </c>
      <c r="F143" s="49">
        <f t="shared" si="338"/>
        <v>84</v>
      </c>
      <c r="G143" s="49" t="str">
        <f t="shared" si="338"/>
        <v>Private</v>
      </c>
      <c r="H143" s="49"/>
      <c r="I143" s="49" t="str">
        <f t="shared" ref="I143:J146" si="339">I142</f>
        <v>73KW</v>
      </c>
      <c r="J143" s="49" t="str">
        <f t="shared" si="339"/>
        <v>HT2A(II)</v>
      </c>
      <c r="K143" s="84">
        <f>HHDHT88!Q30</f>
        <v>86.6</v>
      </c>
      <c r="L143" s="84">
        <f>HHDHT88!P30</f>
        <v>90.1</v>
      </c>
      <c r="M143" s="84">
        <f t="shared" ref="M143:M146" si="340">M142</f>
        <v>500</v>
      </c>
      <c r="N143" s="84">
        <f t="shared" ref="N143" si="341">(L143-K143)*M143</f>
        <v>1750</v>
      </c>
      <c r="O143" s="84">
        <f>HHDHT88!F30</f>
        <v>148.4</v>
      </c>
      <c r="P143" s="84">
        <f>HHDHT88!E30</f>
        <v>152.80000000000001</v>
      </c>
      <c r="Q143" s="84">
        <f t="shared" ref="Q143:Q146" si="342">Q142</f>
        <v>500</v>
      </c>
      <c r="R143" s="84">
        <f t="shared" ref="R143" si="343">(P143-O143)*Q143</f>
        <v>2200.0000000000027</v>
      </c>
      <c r="S143" s="84">
        <f>HHDHT88!K30</f>
        <v>86.6</v>
      </c>
      <c r="T143" s="84">
        <f>HHDHT88!J30</f>
        <v>90.1</v>
      </c>
      <c r="U143" s="84">
        <f t="shared" ref="U143:U146" si="344">U142</f>
        <v>500</v>
      </c>
      <c r="V143" s="84">
        <f t="shared" ref="V143" si="345">(T143-S143)*U143</f>
        <v>1750</v>
      </c>
      <c r="W143" s="85">
        <f>N143/73/30</f>
        <v>0.79908675799086759</v>
      </c>
      <c r="X143" s="20"/>
      <c r="Y143" s="82" t="str">
        <f>HHDHT88!B30</f>
        <v>01.11.2019</v>
      </c>
    </row>
    <row r="144" spans="1:25" x14ac:dyDescent="0.25">
      <c r="A144" s="49">
        <v>5</v>
      </c>
      <c r="B144" s="49" t="str">
        <f t="shared" si="338"/>
        <v>Alanahalli</v>
      </c>
      <c r="C144" s="49" t="str">
        <f t="shared" si="338"/>
        <v>Alanahalli/ 11H5</v>
      </c>
      <c r="D144" s="49" t="str">
        <f t="shared" si="338"/>
        <v>KB Kashinath, Sapthagiri Farms,Alanahalli Village, HD Kote Tq.</v>
      </c>
      <c r="E144" s="49" t="str">
        <f t="shared" si="338"/>
        <v>HHDHT88</v>
      </c>
      <c r="F144" s="49">
        <f t="shared" si="338"/>
        <v>84</v>
      </c>
      <c r="G144" s="49" t="str">
        <f t="shared" si="338"/>
        <v>Private</v>
      </c>
      <c r="H144" s="49"/>
      <c r="I144" s="49" t="str">
        <f t="shared" si="339"/>
        <v>73KW</v>
      </c>
      <c r="J144" s="49" t="str">
        <f t="shared" si="339"/>
        <v>HT2A(II)</v>
      </c>
      <c r="K144" s="84">
        <f>HHDHT88!Q31</f>
        <v>90.1</v>
      </c>
      <c r="L144" s="84">
        <f>HHDHT88!P31</f>
        <v>92.2</v>
      </c>
      <c r="M144" s="84">
        <f t="shared" si="340"/>
        <v>500</v>
      </c>
      <c r="N144" s="84">
        <f t="shared" ref="N144:N145" si="346">(L144-K144)*M144</f>
        <v>1050.0000000000043</v>
      </c>
      <c r="O144" s="84">
        <f>HHDHT88!F31</f>
        <v>152.80000000000001</v>
      </c>
      <c r="P144" s="84">
        <f>HHDHT88!E31</f>
        <v>158</v>
      </c>
      <c r="Q144" s="84">
        <f t="shared" si="342"/>
        <v>500</v>
      </c>
      <c r="R144" s="84">
        <f t="shared" ref="R144:R145" si="347">(P144-O144)*Q144</f>
        <v>2599.9999999999945</v>
      </c>
      <c r="S144" s="84">
        <f>HHDHT88!K31</f>
        <v>90.1</v>
      </c>
      <c r="T144" s="84">
        <f>HHDHT88!J31</f>
        <v>92.2</v>
      </c>
      <c r="U144" s="84">
        <f t="shared" si="344"/>
        <v>500</v>
      </c>
      <c r="V144" s="84">
        <f t="shared" ref="V144:V145" si="348">(T144-S144)*U144</f>
        <v>1050.0000000000043</v>
      </c>
      <c r="W144" s="85">
        <f>N144/73/30</f>
        <v>0.47945205479452252</v>
      </c>
      <c r="X144" s="8"/>
      <c r="Y144" s="82" t="str">
        <f>HHDHT88!B31</f>
        <v>01.12.2019</v>
      </c>
    </row>
    <row r="145" spans="1:25" x14ac:dyDescent="0.25">
      <c r="A145" s="49">
        <v>6</v>
      </c>
      <c r="B145" s="49" t="str">
        <f t="shared" si="338"/>
        <v>Alanahalli</v>
      </c>
      <c r="C145" s="49" t="str">
        <f t="shared" si="338"/>
        <v>Alanahalli/ 11H5</v>
      </c>
      <c r="D145" s="49" t="str">
        <f t="shared" si="338"/>
        <v>KB Kashinath, Sapthagiri Farms,Alanahalli Village, HD Kote Tq.</v>
      </c>
      <c r="E145" s="49" t="str">
        <f t="shared" si="338"/>
        <v>HHDHT88</v>
      </c>
      <c r="F145" s="49">
        <f t="shared" si="338"/>
        <v>84</v>
      </c>
      <c r="G145" s="49" t="str">
        <f t="shared" si="338"/>
        <v>Private</v>
      </c>
      <c r="H145" s="49"/>
      <c r="I145" s="49" t="str">
        <f t="shared" si="339"/>
        <v>73KW</v>
      </c>
      <c r="J145" s="49" t="str">
        <f t="shared" si="339"/>
        <v>HT2A(II)</v>
      </c>
      <c r="K145" s="84">
        <f>HHDHT88!Q32</f>
        <v>92.2</v>
      </c>
      <c r="L145" s="84">
        <f>HHDHT88!P32</f>
        <v>95.5</v>
      </c>
      <c r="M145" s="84">
        <f t="shared" si="340"/>
        <v>500</v>
      </c>
      <c r="N145" s="84">
        <f t="shared" si="346"/>
        <v>1649.9999999999986</v>
      </c>
      <c r="O145" s="84">
        <f>HHDHT88!F32</f>
        <v>158</v>
      </c>
      <c r="P145" s="84">
        <f>HHDHT88!E32</f>
        <v>162.4</v>
      </c>
      <c r="Q145" s="84">
        <f t="shared" si="342"/>
        <v>500</v>
      </c>
      <c r="R145" s="84">
        <f t="shared" si="347"/>
        <v>2200.0000000000027</v>
      </c>
      <c r="S145" s="84">
        <f>HHDHT88!K32</f>
        <v>92.2</v>
      </c>
      <c r="T145" s="84">
        <f>HHDHT88!J32</f>
        <v>95.5</v>
      </c>
      <c r="U145" s="84">
        <f t="shared" si="344"/>
        <v>500</v>
      </c>
      <c r="V145" s="84">
        <f t="shared" si="348"/>
        <v>1649.9999999999986</v>
      </c>
      <c r="W145" s="85">
        <f>N145/73/30</f>
        <v>0.75342465753424603</v>
      </c>
      <c r="X145" s="8"/>
      <c r="Y145" s="82" t="str">
        <f>HHDHT88!B32</f>
        <v>01.01.2020</v>
      </c>
    </row>
    <row r="146" spans="1:25" x14ac:dyDescent="0.25">
      <c r="A146" s="49">
        <v>7</v>
      </c>
      <c r="B146" s="49" t="str">
        <f t="shared" si="338"/>
        <v>Alanahalli</v>
      </c>
      <c r="C146" s="49" t="str">
        <f t="shared" si="338"/>
        <v>Alanahalli/ 11H5</v>
      </c>
      <c r="D146" s="49" t="str">
        <f t="shared" si="338"/>
        <v>KB Kashinath, Sapthagiri Farms,Alanahalli Village, HD Kote Tq.</v>
      </c>
      <c r="E146" s="49" t="str">
        <f t="shared" si="338"/>
        <v>HHDHT88</v>
      </c>
      <c r="F146" s="49">
        <f t="shared" si="338"/>
        <v>84</v>
      </c>
      <c r="G146" s="49" t="str">
        <f t="shared" si="338"/>
        <v>Private</v>
      </c>
      <c r="H146" s="49"/>
      <c r="I146" s="49" t="str">
        <f t="shared" si="339"/>
        <v>73KW</v>
      </c>
      <c r="J146" s="49" t="str">
        <f t="shared" si="339"/>
        <v>HT2A(II)</v>
      </c>
      <c r="K146" s="84">
        <f>HHDHT88!Q33</f>
        <v>95.5</v>
      </c>
      <c r="L146" s="84">
        <f>HHDHT88!P33</f>
        <v>104.9</v>
      </c>
      <c r="M146" s="84">
        <f t="shared" si="340"/>
        <v>500</v>
      </c>
      <c r="N146" s="84">
        <f t="shared" ref="N146" si="349">(L146-K146)*M146</f>
        <v>4700.0000000000027</v>
      </c>
      <c r="O146" s="84">
        <f>HHDHT88!F33</f>
        <v>162.4</v>
      </c>
      <c r="P146" s="84">
        <f>HHDHT88!E33</f>
        <v>165.8</v>
      </c>
      <c r="Q146" s="84">
        <f t="shared" si="342"/>
        <v>500</v>
      </c>
      <c r="R146" s="84">
        <f t="shared" ref="R146" si="350">(P146-O146)*Q146</f>
        <v>1700.0000000000027</v>
      </c>
      <c r="S146" s="84">
        <f>HHDHT88!K33</f>
        <v>95.5</v>
      </c>
      <c r="T146" s="84">
        <f>HHDHT88!J33</f>
        <v>104.9</v>
      </c>
      <c r="U146" s="84">
        <f t="shared" si="344"/>
        <v>500</v>
      </c>
      <c r="V146" s="84">
        <f t="shared" ref="V146" si="351">(T146-S146)*U146</f>
        <v>4700.0000000000027</v>
      </c>
      <c r="W146" s="85">
        <f>N146/73/30</f>
        <v>2.1461187214611881</v>
      </c>
      <c r="Y146" s="82" t="s">
        <v>253</v>
      </c>
    </row>
  </sheetData>
  <autoFilter ref="A5:Z146"/>
  <mergeCells count="21">
    <mergeCell ref="P116:V116"/>
    <mergeCell ref="P115:V115"/>
    <mergeCell ref="K4:N4"/>
    <mergeCell ref="O4:R4"/>
    <mergeCell ref="S4:V4"/>
    <mergeCell ref="W4:W5"/>
    <mergeCell ref="P114:V114"/>
    <mergeCell ref="P113:V113"/>
    <mergeCell ref="A1:X1"/>
    <mergeCell ref="A2:X2"/>
    <mergeCell ref="A4:A5"/>
    <mergeCell ref="B4:B5"/>
    <mergeCell ref="C4:C5"/>
    <mergeCell ref="D4:D5"/>
    <mergeCell ref="E4:E5"/>
    <mergeCell ref="F4:F5"/>
    <mergeCell ref="G4:G5"/>
    <mergeCell ref="H4:H5"/>
    <mergeCell ref="X4:X5"/>
    <mergeCell ref="I4:I5"/>
    <mergeCell ref="J4:J5"/>
  </mergeCells>
  <pageMargins left="0" right="0" top="0.25" bottom="0.25" header="0.3" footer="0.3"/>
  <pageSetup scale="53" orientation="landscape" r:id="rId1"/>
  <colBreaks count="1" manualBreakCount="1">
    <brk id="23" max="14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671"/>
  <sheetViews>
    <sheetView view="pageBreakPreview" zoomScale="60" zoomScaleNormal="100" workbookViewId="0">
      <selection activeCell="P299" sqref="P299"/>
    </sheetView>
  </sheetViews>
  <sheetFormatPr defaultRowHeight="23.25" x14ac:dyDescent="0.35"/>
  <cols>
    <col min="1" max="1" width="5.42578125" customWidth="1"/>
    <col min="2" max="2" width="10.42578125" customWidth="1"/>
    <col min="3" max="3" width="16.5703125" customWidth="1"/>
    <col min="4" max="4" width="46.28515625" style="60" customWidth="1"/>
    <col min="5" max="5" width="17.7109375" customWidth="1"/>
    <col min="6" max="6" width="6.5703125" style="63" customWidth="1"/>
    <col min="8" max="8" width="10.85546875" bestFit="1" customWidth="1"/>
    <col min="9" max="9" width="9.85546875" customWidth="1"/>
    <col min="11" max="11" width="9.7109375" customWidth="1"/>
    <col min="12" max="12" width="10.140625" customWidth="1"/>
    <col min="13" max="13" width="7.7109375" customWidth="1"/>
    <col min="14" max="14" width="12.5703125" customWidth="1"/>
    <col min="15" max="15" width="9.5703125" customWidth="1"/>
    <col min="16" max="16" width="10.5703125" customWidth="1"/>
    <col min="17" max="17" width="6.5703125" customWidth="1"/>
    <col min="18" max="18" width="12.42578125" customWidth="1"/>
    <col min="19" max="19" width="10.28515625" customWidth="1"/>
    <col min="20" max="20" width="9.85546875" customWidth="1"/>
    <col min="21" max="21" width="6.85546875" customWidth="1"/>
    <col min="22" max="22" width="10.5703125" customWidth="1"/>
    <col min="23" max="23" width="13" customWidth="1"/>
    <col min="24" max="24" width="15.5703125" customWidth="1"/>
    <col min="25" max="25" width="25.42578125" bestFit="1" customWidth="1"/>
    <col min="26" max="26" width="11.140625" bestFit="1" customWidth="1"/>
    <col min="27" max="27" width="17" style="83" bestFit="1" customWidth="1"/>
    <col min="28" max="28" width="14" bestFit="1" customWidth="1"/>
    <col min="30" max="30" width="10.5703125" bestFit="1" customWidth="1"/>
    <col min="32" max="32" width="10.5703125" bestFit="1" customWidth="1"/>
  </cols>
  <sheetData>
    <row r="1" spans="1:32" s="40" customFormat="1" ht="29.25" customHeight="1" x14ac:dyDescent="0.25">
      <c r="A1" s="227" t="s">
        <v>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79"/>
    </row>
    <row r="2" spans="1:32" s="41" customFormat="1" ht="21" customHeight="1" x14ac:dyDescent="0.25">
      <c r="A2" s="228" t="s">
        <v>204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79"/>
    </row>
    <row r="3" spans="1:32" s="41" customFormat="1" ht="24" customHeight="1" x14ac:dyDescent="0.25">
      <c r="A3" s="42" t="s">
        <v>238</v>
      </c>
      <c r="D3" s="43"/>
      <c r="E3" s="54"/>
      <c r="F3" s="61"/>
      <c r="H3" s="44"/>
      <c r="T3" s="45"/>
      <c r="U3" s="45"/>
      <c r="Y3" s="46" t="s">
        <v>285</v>
      </c>
      <c r="AA3" s="80"/>
    </row>
    <row r="4" spans="1:32" s="58" customFormat="1" ht="29.25" customHeight="1" x14ac:dyDescent="0.25">
      <c r="A4" s="223" t="s">
        <v>205</v>
      </c>
      <c r="B4" s="223" t="s">
        <v>206</v>
      </c>
      <c r="C4" s="223" t="s">
        <v>207</v>
      </c>
      <c r="D4" s="223" t="s">
        <v>208</v>
      </c>
      <c r="E4" s="229" t="s">
        <v>73</v>
      </c>
      <c r="F4" s="230" t="s">
        <v>209</v>
      </c>
      <c r="G4" s="223" t="s">
        <v>210</v>
      </c>
      <c r="H4" s="231" t="s">
        <v>211</v>
      </c>
      <c r="I4" s="223" t="s">
        <v>212</v>
      </c>
      <c r="J4" s="223" t="s">
        <v>213</v>
      </c>
      <c r="K4" s="223" t="s">
        <v>214</v>
      </c>
      <c r="L4" s="223"/>
      <c r="M4" s="223"/>
      <c r="N4" s="223"/>
      <c r="O4" s="223" t="s">
        <v>215</v>
      </c>
      <c r="P4" s="223"/>
      <c r="Q4" s="223"/>
      <c r="R4" s="223"/>
      <c r="S4" s="223" t="s">
        <v>216</v>
      </c>
      <c r="T4" s="223"/>
      <c r="U4" s="223"/>
      <c r="V4" s="223"/>
      <c r="W4" s="47"/>
      <c r="X4" s="47"/>
      <c r="Y4" s="223" t="s">
        <v>248</v>
      </c>
      <c r="Z4" s="223" t="s">
        <v>249</v>
      </c>
      <c r="AA4" s="79"/>
    </row>
    <row r="5" spans="1:32" s="52" customFormat="1" ht="42" customHeight="1" x14ac:dyDescent="0.25">
      <c r="A5" s="223"/>
      <c r="B5" s="223"/>
      <c r="C5" s="223"/>
      <c r="D5" s="223"/>
      <c r="E5" s="229"/>
      <c r="F5" s="230"/>
      <c r="G5" s="223"/>
      <c r="H5" s="232"/>
      <c r="I5" s="223"/>
      <c r="J5" s="223"/>
      <c r="K5" s="47" t="s">
        <v>217</v>
      </c>
      <c r="L5" s="47" t="s">
        <v>218</v>
      </c>
      <c r="M5" s="48" t="s">
        <v>219</v>
      </c>
      <c r="N5" s="47" t="s">
        <v>220</v>
      </c>
      <c r="O5" s="47" t="s">
        <v>217</v>
      </c>
      <c r="P5" s="47" t="s">
        <v>218</v>
      </c>
      <c r="Q5" s="48" t="s">
        <v>219</v>
      </c>
      <c r="R5" s="47" t="s">
        <v>220</v>
      </c>
      <c r="S5" s="47" t="s">
        <v>217</v>
      </c>
      <c r="T5" s="47" t="s">
        <v>218</v>
      </c>
      <c r="U5" s="47"/>
      <c r="V5" s="47" t="s">
        <v>220</v>
      </c>
      <c r="W5" s="102" t="s">
        <v>241</v>
      </c>
      <c r="X5" s="102" t="s">
        <v>242</v>
      </c>
      <c r="Y5" s="223"/>
      <c r="Z5" s="223"/>
      <c r="AA5" s="81" t="s">
        <v>255</v>
      </c>
    </row>
    <row r="6" spans="1:32" s="40" customFormat="1" ht="39.950000000000003" hidden="1" customHeight="1" x14ac:dyDescent="0.25">
      <c r="A6" s="49">
        <v>1</v>
      </c>
      <c r="B6" s="50" t="s">
        <v>43</v>
      </c>
      <c r="C6" s="56" t="s">
        <v>229</v>
      </c>
      <c r="D6" s="51" t="s">
        <v>125</v>
      </c>
      <c r="E6" s="55" t="s">
        <v>127</v>
      </c>
      <c r="F6" s="62">
        <v>2</v>
      </c>
      <c r="G6" s="49" t="s">
        <v>221</v>
      </c>
      <c r="H6" s="64" t="s">
        <v>222</v>
      </c>
      <c r="I6" s="49">
        <v>3</v>
      </c>
      <c r="J6" s="49" t="s">
        <v>224</v>
      </c>
      <c r="K6" s="84">
        <f>'HKQ7'!Q8</f>
        <v>669.9</v>
      </c>
      <c r="L6" s="84">
        <f>'HKQ7'!P8</f>
        <v>951.4</v>
      </c>
      <c r="M6" s="84">
        <f>'[1]April-18'!M6</f>
        <v>1</v>
      </c>
      <c r="N6" s="84">
        <f t="shared" ref="N6:N634" si="0">(L6-K6)*M6</f>
        <v>281.5</v>
      </c>
      <c r="O6" s="84">
        <f>'HKQ7'!F8</f>
        <v>23.4</v>
      </c>
      <c r="P6" s="84">
        <f>'HKQ7'!E8</f>
        <v>57</v>
      </c>
      <c r="Q6" s="84">
        <v>1</v>
      </c>
      <c r="R6" s="84">
        <f>(P6-O6)*Q6</f>
        <v>33.6</v>
      </c>
      <c r="S6" s="84">
        <f>'HKQ7'!K8</f>
        <v>246.4</v>
      </c>
      <c r="T6" s="84">
        <f>'HKQ7'!J8</f>
        <v>514.4</v>
      </c>
      <c r="U6" s="84">
        <f>'[1]April-18'!U6</f>
        <v>1</v>
      </c>
      <c r="V6" s="84">
        <f>(T6-S6)*U6</f>
        <v>268</v>
      </c>
      <c r="W6" s="84"/>
      <c r="X6" s="84"/>
      <c r="Y6" s="85">
        <f t="shared" ref="Y6:Y9" si="1">N6/30/I6</f>
        <v>3.1277777777777778</v>
      </c>
      <c r="Z6" s="84"/>
      <c r="AA6" s="82" t="str">
        <f>'HKQ7'!B8</f>
        <v>01.08.2019</v>
      </c>
      <c r="AB6" s="40" t="e">
        <f>#REF!+N71+N103+N136+N169+N202+#REF!+N270+N303+N336+N370+N403+N436+N469+N501+N535+N568+N602+N6+N635</f>
        <v>#REF!</v>
      </c>
    </row>
    <row r="7" spans="1:32" s="40" customFormat="1" ht="39.950000000000003" hidden="1" customHeight="1" x14ac:dyDescent="0.25">
      <c r="A7" s="49">
        <v>2</v>
      </c>
      <c r="B7" s="50" t="s">
        <v>43</v>
      </c>
      <c r="C7" s="56" t="str">
        <f>C6</f>
        <v>HDKOTE/1714</v>
      </c>
      <c r="D7" s="51" t="s">
        <v>125</v>
      </c>
      <c r="E7" s="55" t="str">
        <f>E6</f>
        <v>HKQ7</v>
      </c>
      <c r="F7" s="62">
        <f>F6</f>
        <v>2</v>
      </c>
      <c r="G7" s="49" t="s">
        <v>221</v>
      </c>
      <c r="H7" s="64" t="s">
        <v>222</v>
      </c>
      <c r="I7" s="49">
        <f>I6</f>
        <v>3</v>
      </c>
      <c r="J7" s="49" t="str">
        <f>J6</f>
        <v>LT 3</v>
      </c>
      <c r="K7" s="84">
        <f>'HKQ7'!Q9</f>
        <v>951.4</v>
      </c>
      <c r="L7" s="84">
        <f>'HKQ7'!P9</f>
        <v>1188</v>
      </c>
      <c r="M7" s="84">
        <f>'[1]April-18'!M7</f>
        <v>1</v>
      </c>
      <c r="N7" s="84">
        <f t="shared" si="0"/>
        <v>236.60000000000002</v>
      </c>
      <c r="O7" s="84">
        <f>'HKQ7'!F9</f>
        <v>57</v>
      </c>
      <c r="P7" s="84">
        <f>'HKQ7'!E9</f>
        <v>75.7</v>
      </c>
      <c r="Q7" s="84">
        <f>Q6</f>
        <v>1</v>
      </c>
      <c r="R7" s="84">
        <f>(P7-O7)*Q7</f>
        <v>18.700000000000003</v>
      </c>
      <c r="S7" s="84">
        <f>'HKQ7'!K9</f>
        <v>514.4</v>
      </c>
      <c r="T7" s="84">
        <f>'HKQ7'!J9</f>
        <v>735</v>
      </c>
      <c r="U7" s="84">
        <f>'[1]April-18'!U7</f>
        <v>1</v>
      </c>
      <c r="V7" s="84">
        <f>(T7-S7)*U7</f>
        <v>220.60000000000002</v>
      </c>
      <c r="W7" s="84"/>
      <c r="X7" s="84"/>
      <c r="Y7" s="85">
        <f t="shared" si="1"/>
        <v>2.6288888888888891</v>
      </c>
      <c r="Z7" s="84"/>
      <c r="AA7" s="82" t="str">
        <f>'HKQ7'!B9</f>
        <v>01.09.2019</v>
      </c>
      <c r="AB7" s="40">
        <f>N39+N72+N104+N137+N170+N203+N238+N271+N304+N337+N371+N404+N437+N470+N502+N536+N569+N603+N7+N636</f>
        <v>4811.0999999999922</v>
      </c>
    </row>
    <row r="8" spans="1:32" s="40" customFormat="1" ht="39.950000000000003" hidden="1" customHeight="1" x14ac:dyDescent="0.25">
      <c r="A8" s="49">
        <v>3</v>
      </c>
      <c r="B8" s="50" t="s">
        <v>43</v>
      </c>
      <c r="C8" s="56" t="str">
        <f>C7</f>
        <v>HDKOTE/1714</v>
      </c>
      <c r="D8" s="51" t="s">
        <v>125</v>
      </c>
      <c r="E8" s="55" t="str">
        <f>E7</f>
        <v>HKQ7</v>
      </c>
      <c r="F8" s="62">
        <f>F7</f>
        <v>2</v>
      </c>
      <c r="G8" s="49" t="s">
        <v>221</v>
      </c>
      <c r="H8" s="64" t="s">
        <v>222</v>
      </c>
      <c r="I8" s="49">
        <f>I7</f>
        <v>3</v>
      </c>
      <c r="J8" s="49" t="str">
        <f>J7</f>
        <v>LT 3</v>
      </c>
      <c r="K8" s="84">
        <f>'HKQ7'!Q10</f>
        <v>1188</v>
      </c>
      <c r="L8" s="84">
        <f>'HKQ7'!P10</f>
        <v>1453.8</v>
      </c>
      <c r="M8" s="84">
        <f>'[1]April-18'!M8</f>
        <v>1</v>
      </c>
      <c r="N8" s="84">
        <f>(L8-K8)*M8</f>
        <v>265.79999999999995</v>
      </c>
      <c r="O8" s="84">
        <f>'HKQ7'!F10</f>
        <v>75.7</v>
      </c>
      <c r="P8" s="84">
        <f>'HKQ7'!E10</f>
        <v>103.8</v>
      </c>
      <c r="Q8" s="84">
        <f>Q7</f>
        <v>1</v>
      </c>
      <c r="R8" s="84">
        <f>(P8-O8)*Q8</f>
        <v>28.099999999999994</v>
      </c>
      <c r="S8" s="84">
        <f>'HKQ7'!K10</f>
        <v>735</v>
      </c>
      <c r="T8" s="84">
        <f>'HKQ7'!J10</f>
        <v>970</v>
      </c>
      <c r="U8" s="84">
        <f>'[1]April-18'!U8</f>
        <v>1</v>
      </c>
      <c r="V8" s="84">
        <f>(T8-S8)*U8</f>
        <v>235</v>
      </c>
      <c r="W8" s="84"/>
      <c r="X8" s="84"/>
      <c r="Y8" s="85">
        <f t="shared" si="1"/>
        <v>2.9533333333333327</v>
      </c>
      <c r="Z8" s="84"/>
      <c r="AA8" s="82" t="str">
        <f>'HKQ7'!B10</f>
        <v>01.10.2019</v>
      </c>
      <c r="AB8" s="40">
        <f>N40+N73+N105+N138+N171+N204+N239+N272+N305+N338+N372+N405+N438+N471+N503+N537+N570+N604+N8+N637</f>
        <v>5241.8</v>
      </c>
    </row>
    <row r="9" spans="1:32" s="40" customFormat="1" ht="39.950000000000003" hidden="1" customHeight="1" x14ac:dyDescent="0.25">
      <c r="A9" s="49">
        <v>4</v>
      </c>
      <c r="B9" s="50" t="s">
        <v>43</v>
      </c>
      <c r="C9" s="56" t="str">
        <f t="shared" ref="C9:C15" si="2">C8</f>
        <v>HDKOTE/1714</v>
      </c>
      <c r="D9" s="51" t="s">
        <v>125</v>
      </c>
      <c r="E9" s="55" t="str">
        <f t="shared" ref="E9:F12" si="3">E8</f>
        <v>HKQ7</v>
      </c>
      <c r="F9" s="62">
        <f t="shared" si="3"/>
        <v>2</v>
      </c>
      <c r="G9" s="49" t="s">
        <v>221</v>
      </c>
      <c r="H9" s="64" t="s">
        <v>222</v>
      </c>
      <c r="I9" s="49">
        <f t="shared" ref="I9:J12" si="4">I8</f>
        <v>3</v>
      </c>
      <c r="J9" s="49" t="str">
        <f t="shared" si="4"/>
        <v>LT 3</v>
      </c>
      <c r="K9" s="84">
        <f>'HKQ7'!Q11</f>
        <v>1453.8</v>
      </c>
      <c r="L9" s="84">
        <f>'HKQ7'!P11</f>
        <v>1833.2</v>
      </c>
      <c r="M9" s="84">
        <f>'[1]April-18'!M9</f>
        <v>1</v>
      </c>
      <c r="N9" s="84">
        <f t="shared" ref="N9:N12" si="5">(L9-K9)*M9</f>
        <v>379.40000000000009</v>
      </c>
      <c r="O9" s="84">
        <f>'HKQ7'!F11</f>
        <v>103.8</v>
      </c>
      <c r="P9" s="84">
        <f>'HKQ7'!E11</f>
        <v>148.5</v>
      </c>
      <c r="Q9" s="84">
        <f t="shared" ref="Q9:Q15" si="6">Q8</f>
        <v>1</v>
      </c>
      <c r="R9" s="84">
        <f t="shared" ref="R9:R306" si="7">(P9-O9)*Q9</f>
        <v>44.7</v>
      </c>
      <c r="S9" s="84">
        <f>'HKQ7'!K11</f>
        <v>970</v>
      </c>
      <c r="T9" s="84">
        <f>'HKQ7'!J11</f>
        <v>1303.5999999999999</v>
      </c>
      <c r="U9" s="84">
        <f>'[1]April-18'!U9</f>
        <v>1</v>
      </c>
      <c r="V9" s="84">
        <f t="shared" ref="V9:V306" si="8">(T9-S9)*U9</f>
        <v>333.59999999999991</v>
      </c>
      <c r="W9" s="84"/>
      <c r="X9" s="84"/>
      <c r="Y9" s="85">
        <f t="shared" si="1"/>
        <v>4.2155555555555564</v>
      </c>
      <c r="Z9" s="84"/>
      <c r="AA9" s="82" t="str">
        <f>'HKQ7'!B11</f>
        <v>01.11.2019</v>
      </c>
      <c r="AB9" s="40">
        <f>N41+N74+N106+N139+N172+N205+N240+N273+N306+N339+N373+N406+N439+N472+N504+N538+N571+N605+N9+N638</f>
        <v>6198.4000000000015</v>
      </c>
      <c r="AC9" s="40">
        <f>O41+O74+O106+O139+O172+O205+O240+O273+O306+O339+O373+O406+O439+O472+O504+O538+O571+O605</f>
        <v>23962.5</v>
      </c>
      <c r="AD9" s="40" t="e">
        <f>P41+P74+P106+P139+P172+P205+P240+P273+P306+P339+P373+P406+P439+P472+P504+P538+P571+P605</f>
        <v>#VALUE!</v>
      </c>
      <c r="AE9" s="40">
        <f>Q41+Q74+Q106+Q139+Q172+Q205+Q240+Q273+Q306+Q339+Q373+Q406+Q439+Q472+Q504+Q538+Q571+Q605</f>
        <v>17</v>
      </c>
      <c r="AF9" s="40">
        <f>R41+R74+R106+R139+R172+R205+R240+R273+R306+R339+R373+R406+R439+R472+R504+R538+R571+R605</f>
        <v>2515.4999999999995</v>
      </c>
    </row>
    <row r="10" spans="1:32" s="40" customFormat="1" ht="39.950000000000003" hidden="1" customHeight="1" x14ac:dyDescent="0.25">
      <c r="A10" s="49">
        <v>5</v>
      </c>
      <c r="B10" s="50" t="s">
        <v>43</v>
      </c>
      <c r="C10" s="56" t="str">
        <f t="shared" si="2"/>
        <v>HDKOTE/1714</v>
      </c>
      <c r="D10" s="51" t="s">
        <v>125</v>
      </c>
      <c r="E10" s="55" t="str">
        <f t="shared" si="3"/>
        <v>HKQ7</v>
      </c>
      <c r="F10" s="62">
        <f t="shared" si="3"/>
        <v>2</v>
      </c>
      <c r="G10" s="49" t="s">
        <v>221</v>
      </c>
      <c r="H10" s="64" t="s">
        <v>222</v>
      </c>
      <c r="I10" s="49">
        <f t="shared" si="4"/>
        <v>3</v>
      </c>
      <c r="J10" s="49" t="str">
        <f t="shared" si="4"/>
        <v>LT 3</v>
      </c>
      <c r="K10" s="84">
        <f>'HKQ7'!Q12</f>
        <v>1833.2</v>
      </c>
      <c r="L10" s="84">
        <f>'HKQ7'!P12</f>
        <v>2157.1</v>
      </c>
      <c r="M10" s="84">
        <f>'[1]April-18'!M10</f>
        <v>1</v>
      </c>
      <c r="N10" s="84">
        <f t="shared" si="5"/>
        <v>323.89999999999986</v>
      </c>
      <c r="O10" s="84">
        <f>'HKQ7'!F12</f>
        <v>148.5</v>
      </c>
      <c r="P10" s="84">
        <f>'HKQ7'!E12</f>
        <v>225</v>
      </c>
      <c r="Q10" s="84">
        <f t="shared" si="6"/>
        <v>1</v>
      </c>
      <c r="R10" s="84">
        <f t="shared" si="7"/>
        <v>76.5</v>
      </c>
      <c r="S10" s="84">
        <f>'HKQ7'!K12</f>
        <v>1303.5999999999999</v>
      </c>
      <c r="T10" s="84">
        <f>'HKQ7'!J12</f>
        <v>1610</v>
      </c>
      <c r="U10" s="84">
        <f>'[1]April-18'!U10</f>
        <v>1</v>
      </c>
      <c r="V10" s="84">
        <f t="shared" si="8"/>
        <v>306.40000000000009</v>
      </c>
      <c r="W10" s="84"/>
      <c r="X10" s="84"/>
      <c r="Y10" s="85">
        <f>N10/30/I10</f>
        <v>3.598888888888887</v>
      </c>
      <c r="Z10" s="84"/>
      <c r="AA10" s="82" t="str">
        <f>'HKQ7'!B12</f>
        <v>01.12.2019</v>
      </c>
    </row>
    <row r="11" spans="1:32" s="40" customFormat="1" ht="39.950000000000003" hidden="1" customHeight="1" x14ac:dyDescent="0.25">
      <c r="A11" s="49">
        <v>6</v>
      </c>
      <c r="B11" s="50" t="s">
        <v>43</v>
      </c>
      <c r="C11" s="56" t="str">
        <f>C10</f>
        <v>HDKOTE/1714</v>
      </c>
      <c r="D11" s="51" t="s">
        <v>125</v>
      </c>
      <c r="E11" s="55" t="str">
        <f>E10</f>
        <v>HKQ7</v>
      </c>
      <c r="F11" s="62">
        <f>F10</f>
        <v>2</v>
      </c>
      <c r="G11" s="49" t="s">
        <v>221</v>
      </c>
      <c r="H11" s="64" t="s">
        <v>222</v>
      </c>
      <c r="I11" s="49">
        <f>I10</f>
        <v>3</v>
      </c>
      <c r="J11" s="49" t="str">
        <f>J10</f>
        <v>LT 3</v>
      </c>
      <c r="K11" s="84">
        <f>'HKQ7'!Q13</f>
        <v>2157.1</v>
      </c>
      <c r="L11" s="84">
        <f>'HKQ7'!P13</f>
        <v>2450</v>
      </c>
      <c r="M11" s="84">
        <f>'[1]April-18'!M11</f>
        <v>1</v>
      </c>
      <c r="N11" s="84">
        <f t="shared" si="5"/>
        <v>292.90000000000009</v>
      </c>
      <c r="O11" s="84">
        <f>'HKQ7'!F13</f>
        <v>225</v>
      </c>
      <c r="P11" s="84">
        <f>'HKQ7'!E13</f>
        <v>264.89999999999998</v>
      </c>
      <c r="Q11" s="84">
        <f>Q10</f>
        <v>1</v>
      </c>
      <c r="R11" s="84">
        <f t="shared" si="7"/>
        <v>39.899999999999977</v>
      </c>
      <c r="S11" s="84">
        <f>'HKQ7'!K13</f>
        <v>1610</v>
      </c>
      <c r="T11" s="84">
        <f>'HKQ7'!J13</f>
        <v>1882.3</v>
      </c>
      <c r="U11" s="84">
        <f>'[1]April-18'!U11</f>
        <v>1</v>
      </c>
      <c r="V11" s="84">
        <f t="shared" si="8"/>
        <v>272.29999999999995</v>
      </c>
      <c r="W11" s="84"/>
      <c r="X11" s="84"/>
      <c r="Y11" s="85">
        <f t="shared" ref="Y11" si="9">N11/30/I11</f>
        <v>3.2544444444444456</v>
      </c>
      <c r="Z11" s="84"/>
      <c r="AA11" s="82" t="str">
        <f>'HKQ7'!B13</f>
        <v>01.01.2020</v>
      </c>
    </row>
    <row r="12" spans="1:32" s="40" customFormat="1" ht="39.950000000000003" hidden="1" customHeight="1" x14ac:dyDescent="0.25">
      <c r="A12" s="49">
        <v>7</v>
      </c>
      <c r="B12" s="50" t="s">
        <v>43</v>
      </c>
      <c r="C12" s="56" t="str">
        <f t="shared" si="2"/>
        <v>HDKOTE/1714</v>
      </c>
      <c r="D12" s="51" t="s">
        <v>125</v>
      </c>
      <c r="E12" s="55" t="str">
        <f t="shared" si="3"/>
        <v>HKQ7</v>
      </c>
      <c r="F12" s="62">
        <f t="shared" si="3"/>
        <v>2</v>
      </c>
      <c r="G12" s="49" t="s">
        <v>221</v>
      </c>
      <c r="H12" s="64" t="s">
        <v>222</v>
      </c>
      <c r="I12" s="49">
        <f t="shared" si="4"/>
        <v>3</v>
      </c>
      <c r="J12" s="49" t="str">
        <f t="shared" si="4"/>
        <v>LT 3</v>
      </c>
      <c r="K12" s="84">
        <f>'HKQ7'!Q14</f>
        <v>2450</v>
      </c>
      <c r="L12" s="84">
        <f>'HKQ7'!P14</f>
        <v>2791</v>
      </c>
      <c r="M12" s="84">
        <f>'[1]April-18'!M12</f>
        <v>1</v>
      </c>
      <c r="N12" s="84">
        <f t="shared" si="5"/>
        <v>341</v>
      </c>
      <c r="O12" s="84">
        <f>'HKQ7'!F14</f>
        <v>264.89999999999998</v>
      </c>
      <c r="P12" s="84">
        <f>'HKQ7'!E14</f>
        <v>297</v>
      </c>
      <c r="Q12" s="84">
        <f t="shared" si="6"/>
        <v>1</v>
      </c>
      <c r="R12" s="84">
        <f t="shared" si="7"/>
        <v>32.100000000000023</v>
      </c>
      <c r="S12" s="84">
        <f>'HKQ7'!K14</f>
        <v>1882.3</v>
      </c>
      <c r="T12" s="84">
        <f>'HKQ7'!J14</f>
        <v>2206</v>
      </c>
      <c r="U12" s="84">
        <f>'[1]April-18'!U12</f>
        <v>1</v>
      </c>
      <c r="V12" s="84">
        <f t="shared" si="8"/>
        <v>323.70000000000005</v>
      </c>
      <c r="W12" s="84"/>
      <c r="X12" s="84"/>
      <c r="Y12" s="85">
        <f>N12/30/I12</f>
        <v>3.7888888888888892</v>
      </c>
      <c r="Z12" s="84"/>
      <c r="AA12" s="82" t="s">
        <v>253</v>
      </c>
    </row>
    <row r="13" spans="1:32" s="40" customFormat="1" ht="39.950000000000003" hidden="1" customHeight="1" x14ac:dyDescent="0.25">
      <c r="A13" s="49">
        <v>8</v>
      </c>
      <c r="B13" s="50" t="s">
        <v>43</v>
      </c>
      <c r="C13" s="56" t="str">
        <f t="shared" si="2"/>
        <v>HDKOTE/1714</v>
      </c>
      <c r="D13" s="51" t="s">
        <v>125</v>
      </c>
      <c r="E13" s="55" t="str">
        <f t="shared" ref="E13:F13" si="10">E12</f>
        <v>HKQ7</v>
      </c>
      <c r="F13" s="62">
        <f t="shared" si="10"/>
        <v>2</v>
      </c>
      <c r="G13" s="49" t="s">
        <v>221</v>
      </c>
      <c r="H13" s="64" t="s">
        <v>222</v>
      </c>
      <c r="I13" s="49">
        <f t="shared" ref="I13:J13" si="11">I12</f>
        <v>3</v>
      </c>
      <c r="J13" s="49" t="str">
        <f t="shared" si="11"/>
        <v>LT 3</v>
      </c>
      <c r="K13" s="84">
        <f>'HKQ7'!Q15</f>
        <v>2791</v>
      </c>
      <c r="L13" s="84">
        <f>'HKQ7'!P15</f>
        <v>3123.6</v>
      </c>
      <c r="M13" s="84">
        <f>'[1]April-18'!M13</f>
        <v>1</v>
      </c>
      <c r="N13" s="84">
        <f t="shared" ref="N13:N27" si="12">(L13-K13)*M13</f>
        <v>332.59999999999991</v>
      </c>
      <c r="O13" s="84">
        <f>'HKQ7'!F15</f>
        <v>297</v>
      </c>
      <c r="P13" s="84">
        <f>'HKQ7'!E15</f>
        <v>322.89999999999998</v>
      </c>
      <c r="Q13" s="84">
        <f t="shared" si="6"/>
        <v>1</v>
      </c>
      <c r="R13" s="84">
        <f t="shared" ref="R13:R27" si="13">(P13-O13)*Q13</f>
        <v>25.899999999999977</v>
      </c>
      <c r="S13" s="84">
        <f>'HKQ7'!K15</f>
        <v>2206</v>
      </c>
      <c r="T13" s="84">
        <f>'HKQ7'!J15</f>
        <v>2501.5</v>
      </c>
      <c r="U13" s="84">
        <f>'[1]April-18'!U13</f>
        <v>1</v>
      </c>
      <c r="V13" s="84">
        <f t="shared" ref="V13:V27" si="14">(T13-S13)*U13</f>
        <v>295.5</v>
      </c>
      <c r="W13" s="84"/>
      <c r="X13" s="84"/>
      <c r="Y13" s="85">
        <f>N13/30/I13</f>
        <v>3.6955555555555546</v>
      </c>
      <c r="Z13" s="84"/>
      <c r="AA13" s="82" t="str">
        <f>'HKQ7'!B15</f>
        <v>01.03.2020</v>
      </c>
    </row>
    <row r="14" spans="1:32" s="40" customFormat="1" ht="39.950000000000003" hidden="1" customHeight="1" x14ac:dyDescent="0.25">
      <c r="A14" s="49">
        <v>9</v>
      </c>
      <c r="B14" s="50" t="s">
        <v>43</v>
      </c>
      <c r="C14" s="56" t="str">
        <f>C13</f>
        <v>HDKOTE/1714</v>
      </c>
      <c r="D14" s="51" t="s">
        <v>125</v>
      </c>
      <c r="E14" s="55" t="str">
        <f>E13</f>
        <v>HKQ7</v>
      </c>
      <c r="F14" s="62">
        <f>F13</f>
        <v>2</v>
      </c>
      <c r="G14" s="49" t="s">
        <v>221</v>
      </c>
      <c r="H14" s="64" t="s">
        <v>222</v>
      </c>
      <c r="I14" s="49">
        <f>I13</f>
        <v>3</v>
      </c>
      <c r="J14" s="49" t="str">
        <f>J13</f>
        <v>LT 3</v>
      </c>
      <c r="K14" s="84">
        <f>'HKQ7'!Q16</f>
        <v>3123.6</v>
      </c>
      <c r="L14" s="84">
        <f>'HKQ7'!P16</f>
        <v>3494.6</v>
      </c>
      <c r="M14" s="84">
        <f>'[1]April-18'!M14</f>
        <v>1</v>
      </c>
      <c r="N14" s="84">
        <f t="shared" si="12"/>
        <v>371</v>
      </c>
      <c r="O14" s="84">
        <f>'HKQ7'!F16</f>
        <v>322.89999999999998</v>
      </c>
      <c r="P14" s="84">
        <f>'HKQ7'!E16</f>
        <v>345.9</v>
      </c>
      <c r="Q14" s="84">
        <f>Q13</f>
        <v>1</v>
      </c>
      <c r="R14" s="84">
        <f t="shared" si="13"/>
        <v>23</v>
      </c>
      <c r="S14" s="84">
        <f>'HKQ7'!K16</f>
        <v>2501.5</v>
      </c>
      <c r="T14" s="84">
        <f>'HKQ7'!J16</f>
        <v>2841.5</v>
      </c>
      <c r="U14" s="84">
        <f>'[1]April-18'!U14</f>
        <v>1</v>
      </c>
      <c r="V14" s="84">
        <f t="shared" si="14"/>
        <v>340</v>
      </c>
      <c r="W14" s="84"/>
      <c r="X14" s="84"/>
      <c r="Y14" s="85">
        <f t="shared" ref="Y14" si="15">N14/30/I14</f>
        <v>4.1222222222222227</v>
      </c>
      <c r="Z14" s="84"/>
      <c r="AA14" s="82" t="str">
        <f>'HKQ7'!B16</f>
        <v>01.04.2020</v>
      </c>
    </row>
    <row r="15" spans="1:32" s="40" customFormat="1" ht="39.950000000000003" hidden="1" customHeight="1" x14ac:dyDescent="0.25">
      <c r="A15" s="49">
        <v>10</v>
      </c>
      <c r="B15" s="50" t="s">
        <v>43</v>
      </c>
      <c r="C15" s="56" t="str">
        <f t="shared" si="2"/>
        <v>HDKOTE/1714</v>
      </c>
      <c r="D15" s="51" t="s">
        <v>125</v>
      </c>
      <c r="E15" s="55" t="str">
        <f t="shared" ref="E15:F15" si="16">E14</f>
        <v>HKQ7</v>
      </c>
      <c r="F15" s="62">
        <f t="shared" si="16"/>
        <v>2</v>
      </c>
      <c r="G15" s="49" t="s">
        <v>221</v>
      </c>
      <c r="H15" s="64" t="s">
        <v>222</v>
      </c>
      <c r="I15" s="49">
        <f t="shared" ref="I15:J15" si="17">I14</f>
        <v>3</v>
      </c>
      <c r="J15" s="49" t="str">
        <f t="shared" si="17"/>
        <v>LT 3</v>
      </c>
      <c r="K15" s="84">
        <f>'HKQ7'!Q17</f>
        <v>0</v>
      </c>
      <c r="L15" s="84">
        <f>'HKQ7'!P17</f>
        <v>0</v>
      </c>
      <c r="M15" s="84">
        <f>'[1]April-18'!M15</f>
        <v>1</v>
      </c>
      <c r="N15" s="84">
        <f t="shared" ref="N15:N16" si="18">(L15-K15)*M15</f>
        <v>0</v>
      </c>
      <c r="O15" s="84">
        <f>'HKQ7'!F17</f>
        <v>0</v>
      </c>
      <c r="P15" s="84">
        <f>'HKQ7'!E17</f>
        <v>0</v>
      </c>
      <c r="Q15" s="84">
        <f t="shared" si="6"/>
        <v>1</v>
      </c>
      <c r="R15" s="84">
        <f t="shared" ref="R15:R16" si="19">(P15-O15)*Q15</f>
        <v>0</v>
      </c>
      <c r="S15" s="84">
        <f>'HKQ7'!K17</f>
        <v>0</v>
      </c>
      <c r="T15" s="84">
        <f>'HKQ7'!J17</f>
        <v>0</v>
      </c>
      <c r="U15" s="84">
        <f>'[1]April-18'!U15</f>
        <v>1</v>
      </c>
      <c r="V15" s="84">
        <f t="shared" ref="V15:V16" si="20">(T15-S15)*U15</f>
        <v>0</v>
      </c>
      <c r="W15" s="84"/>
      <c r="X15" s="84"/>
      <c r="Y15" s="85">
        <f>N15/30/I15</f>
        <v>0</v>
      </c>
      <c r="Z15" s="84"/>
      <c r="AA15" s="82"/>
    </row>
    <row r="16" spans="1:32" s="40" customFormat="1" ht="39.950000000000003" hidden="1" customHeight="1" x14ac:dyDescent="0.25">
      <c r="A16" s="49">
        <v>11</v>
      </c>
      <c r="B16" s="50" t="s">
        <v>43</v>
      </c>
      <c r="C16" s="56" t="str">
        <f>C15</f>
        <v>HDKOTE/1714</v>
      </c>
      <c r="D16" s="51" t="s">
        <v>125</v>
      </c>
      <c r="E16" s="55" t="str">
        <f t="shared" ref="E16:F18" si="21">E15</f>
        <v>HKQ7</v>
      </c>
      <c r="F16" s="62">
        <f t="shared" si="21"/>
        <v>2</v>
      </c>
      <c r="G16" s="49" t="s">
        <v>221</v>
      </c>
      <c r="H16" s="64" t="s">
        <v>222</v>
      </c>
      <c r="I16" s="49">
        <f t="shared" ref="I16:J18" si="22">I15</f>
        <v>3</v>
      </c>
      <c r="J16" s="49" t="str">
        <f t="shared" si="22"/>
        <v>LT 3</v>
      </c>
      <c r="K16" s="84">
        <f>'HKQ7'!Q18</f>
        <v>3494.6</v>
      </c>
      <c r="L16" s="84">
        <f>'HKQ7'!P18</f>
        <v>3890.6</v>
      </c>
      <c r="M16" s="84">
        <f>'[1]April-18'!M16</f>
        <v>1</v>
      </c>
      <c r="N16" s="84">
        <f t="shared" si="18"/>
        <v>396</v>
      </c>
      <c r="O16" s="84">
        <f>'HKQ7'!F18</f>
        <v>345.9</v>
      </c>
      <c r="P16" s="84">
        <f>'HKQ7'!E18</f>
        <v>370.8</v>
      </c>
      <c r="Q16" s="84">
        <f>Q15</f>
        <v>1</v>
      </c>
      <c r="R16" s="84">
        <f t="shared" si="19"/>
        <v>24.900000000000034</v>
      </c>
      <c r="S16" s="84">
        <f>'HKQ7'!K18</f>
        <v>2841.5</v>
      </c>
      <c r="T16" s="84">
        <f>'HKQ7'!J18</f>
        <v>3207.5</v>
      </c>
      <c r="U16" s="84">
        <f>'[1]April-18'!U16</f>
        <v>1</v>
      </c>
      <c r="V16" s="84">
        <f t="shared" si="20"/>
        <v>366</v>
      </c>
      <c r="W16" s="84"/>
      <c r="X16" s="84"/>
      <c r="Y16" s="85">
        <f t="shared" ref="Y16" si="23">N16/30/I16</f>
        <v>4.3999999999999995</v>
      </c>
      <c r="Z16" s="84"/>
      <c r="AA16" s="82" t="str">
        <f>'HKQ7'!B18</f>
        <v>01.05.2020</v>
      </c>
    </row>
    <row r="17" spans="1:27" s="40" customFormat="1" ht="39.950000000000003" hidden="1" customHeight="1" x14ac:dyDescent="0.25">
      <c r="A17" s="49">
        <v>12</v>
      </c>
      <c r="B17" s="50" t="s">
        <v>43</v>
      </c>
      <c r="C17" s="56" t="str">
        <f>C16</f>
        <v>HDKOTE/1714</v>
      </c>
      <c r="D17" s="51" t="s">
        <v>125</v>
      </c>
      <c r="E17" s="55" t="str">
        <f t="shared" si="21"/>
        <v>HKQ7</v>
      </c>
      <c r="F17" s="62">
        <f t="shared" si="21"/>
        <v>2</v>
      </c>
      <c r="G17" s="49" t="s">
        <v>221</v>
      </c>
      <c r="H17" s="64" t="s">
        <v>222</v>
      </c>
      <c r="I17" s="49">
        <f t="shared" si="22"/>
        <v>3</v>
      </c>
      <c r="J17" s="49" t="str">
        <f t="shared" si="22"/>
        <v>LT 3</v>
      </c>
      <c r="K17" s="84">
        <f>'HKQ7'!Q19</f>
        <v>3890.6</v>
      </c>
      <c r="L17" s="84">
        <f>'HKQ7'!P19</f>
        <v>4234.6000000000004</v>
      </c>
      <c r="M17" s="84">
        <f>'[1]April-18'!M17</f>
        <v>1</v>
      </c>
      <c r="N17" s="84">
        <f t="shared" ref="N17:N18" si="24">(L17-K17)*M17</f>
        <v>344.00000000000045</v>
      </c>
      <c r="O17" s="84">
        <f>'HKQ7'!F19</f>
        <v>370.8</v>
      </c>
      <c r="P17" s="84">
        <f>'HKQ7'!E19</f>
        <v>394.6</v>
      </c>
      <c r="Q17" s="84">
        <f>Q16</f>
        <v>1</v>
      </c>
      <c r="R17" s="84">
        <f t="shared" ref="R17:R18" si="25">(P17-O17)*Q17</f>
        <v>23.800000000000011</v>
      </c>
      <c r="S17" s="84">
        <f>'HKQ7'!K19</f>
        <v>3207.5</v>
      </c>
      <c r="T17" s="84">
        <f>'HKQ7'!J19</f>
        <v>3520.4</v>
      </c>
      <c r="U17" s="84">
        <f>'[1]April-18'!U17</f>
        <v>1</v>
      </c>
      <c r="V17" s="84">
        <f t="shared" ref="V17:V18" si="26">(T17-S17)*U17</f>
        <v>312.90000000000009</v>
      </c>
      <c r="W17" s="84"/>
      <c r="X17" s="84"/>
      <c r="Y17" s="85">
        <f t="shared" ref="Y17:Y18" si="27">N17/30/I17</f>
        <v>3.8222222222222269</v>
      </c>
      <c r="Z17" s="84"/>
      <c r="AA17" s="82" t="str">
        <f>'HKQ7'!B19</f>
        <v>01.06.2020</v>
      </c>
    </row>
    <row r="18" spans="1:27" s="40" customFormat="1" ht="39.950000000000003" hidden="1" customHeight="1" x14ac:dyDescent="0.25">
      <c r="A18" s="49">
        <v>13</v>
      </c>
      <c r="B18" s="50" t="s">
        <v>43</v>
      </c>
      <c r="C18" s="56" t="str">
        <f>C17</f>
        <v>HDKOTE/1714</v>
      </c>
      <c r="D18" s="51" t="s">
        <v>125</v>
      </c>
      <c r="E18" s="55" t="str">
        <f t="shared" si="21"/>
        <v>HKQ7</v>
      </c>
      <c r="F18" s="62">
        <f t="shared" si="21"/>
        <v>2</v>
      </c>
      <c r="G18" s="49" t="s">
        <v>221</v>
      </c>
      <c r="H18" s="64" t="s">
        <v>222</v>
      </c>
      <c r="I18" s="49">
        <f t="shared" si="22"/>
        <v>3</v>
      </c>
      <c r="J18" s="49" t="str">
        <f t="shared" si="22"/>
        <v>LT 3</v>
      </c>
      <c r="K18" s="84">
        <f>'HKQ7'!Q20</f>
        <v>4234.6000000000004</v>
      </c>
      <c r="L18" s="84">
        <f>'HKQ7'!P20</f>
        <v>4492.1000000000004</v>
      </c>
      <c r="M18" s="84">
        <f>'[1]April-18'!M18</f>
        <v>1</v>
      </c>
      <c r="N18" s="84">
        <f t="shared" si="24"/>
        <v>257.5</v>
      </c>
      <c r="O18" s="84">
        <f>'HKQ7'!F20</f>
        <v>394.6</v>
      </c>
      <c r="P18" s="84">
        <f>'HKQ7'!E20</f>
        <v>416.6</v>
      </c>
      <c r="Q18" s="84">
        <f>Q17</f>
        <v>1</v>
      </c>
      <c r="R18" s="84">
        <f t="shared" si="25"/>
        <v>22</v>
      </c>
      <c r="S18" s="84">
        <f>'HKQ7'!K20</f>
        <v>3520.4</v>
      </c>
      <c r="T18" s="84">
        <f>'HKQ7'!J20</f>
        <v>3771.9</v>
      </c>
      <c r="U18" s="84">
        <f>'[1]April-18'!U18</f>
        <v>1</v>
      </c>
      <c r="V18" s="84">
        <f t="shared" si="26"/>
        <v>251.5</v>
      </c>
      <c r="W18" s="84"/>
      <c r="X18" s="84"/>
      <c r="Y18" s="85">
        <f t="shared" si="27"/>
        <v>2.8611111111111112</v>
      </c>
      <c r="Z18" s="84"/>
      <c r="AA18" s="82" t="str">
        <f>'HKQ7'!B20</f>
        <v>01.07.2020</v>
      </c>
    </row>
    <row r="19" spans="1:27" s="40" customFormat="1" ht="39.950000000000003" hidden="1" customHeight="1" x14ac:dyDescent="0.25">
      <c r="A19" s="49">
        <v>14</v>
      </c>
      <c r="B19" s="50" t="s">
        <v>43</v>
      </c>
      <c r="C19" s="56" t="str">
        <f t="shared" ref="C19:C21" si="28">C18</f>
        <v>HDKOTE/1714</v>
      </c>
      <c r="D19" s="51" t="s">
        <v>125</v>
      </c>
      <c r="E19" s="55" t="str">
        <f t="shared" ref="E19:F19" si="29">E18</f>
        <v>HKQ7</v>
      </c>
      <c r="F19" s="62">
        <f t="shared" si="29"/>
        <v>2</v>
      </c>
      <c r="G19" s="49" t="s">
        <v>221</v>
      </c>
      <c r="H19" s="64" t="s">
        <v>222</v>
      </c>
      <c r="I19" s="49">
        <f t="shared" ref="I19:J19" si="30">I18</f>
        <v>3</v>
      </c>
      <c r="J19" s="49" t="str">
        <f t="shared" si="30"/>
        <v>LT 3</v>
      </c>
      <c r="K19" s="84">
        <f>'HKQ7'!Q21</f>
        <v>4492.1000000000004</v>
      </c>
      <c r="L19" s="84">
        <f>'HKQ7'!P21</f>
        <v>4785.3</v>
      </c>
      <c r="M19" s="84">
        <f>'[1]April-18'!M19</f>
        <v>1</v>
      </c>
      <c r="N19" s="84">
        <f t="shared" ref="N19:N21" si="31">(L19-K19)*M19</f>
        <v>293.19999999999982</v>
      </c>
      <c r="O19" s="84">
        <f>'HKQ7'!F21</f>
        <v>416.6</v>
      </c>
      <c r="P19" s="84">
        <f>'HKQ7'!E21</f>
        <v>438.5</v>
      </c>
      <c r="Q19" s="84">
        <f t="shared" ref="Q19:Q21" si="32">Q18</f>
        <v>1</v>
      </c>
      <c r="R19" s="84">
        <f t="shared" ref="R19:R21" si="33">(P19-O19)*Q19</f>
        <v>21.899999999999977</v>
      </c>
      <c r="S19" s="84">
        <f>'HKQ7'!K21</f>
        <v>3771.9</v>
      </c>
      <c r="T19" s="84">
        <f>'HKQ7'!J21</f>
        <v>4023.5</v>
      </c>
      <c r="U19" s="84">
        <f>'[1]April-18'!U19</f>
        <v>1</v>
      </c>
      <c r="V19" s="84">
        <f t="shared" ref="V19:V21" si="34">(T19-S19)*U19</f>
        <v>251.59999999999991</v>
      </c>
      <c r="W19" s="84"/>
      <c r="X19" s="84"/>
      <c r="Y19" s="85">
        <f t="shared" ref="Y19:Y21" si="35">N19/30/I19</f>
        <v>3.2577777777777759</v>
      </c>
      <c r="Z19" s="84"/>
      <c r="AA19" s="82"/>
    </row>
    <row r="20" spans="1:27" s="40" customFormat="1" ht="39.950000000000003" hidden="1" customHeight="1" x14ac:dyDescent="0.25">
      <c r="A20" s="49">
        <v>15</v>
      </c>
      <c r="B20" s="50" t="s">
        <v>43</v>
      </c>
      <c r="C20" s="56" t="str">
        <f t="shared" si="28"/>
        <v>HDKOTE/1714</v>
      </c>
      <c r="D20" s="51" t="s">
        <v>125</v>
      </c>
      <c r="E20" s="55" t="str">
        <f t="shared" ref="E20:F20" si="36">E19</f>
        <v>HKQ7</v>
      </c>
      <c r="F20" s="62">
        <f t="shared" si="36"/>
        <v>2</v>
      </c>
      <c r="G20" s="49" t="s">
        <v>221</v>
      </c>
      <c r="H20" s="64" t="s">
        <v>222</v>
      </c>
      <c r="I20" s="49">
        <f t="shared" ref="I20:J20" si="37">I19</f>
        <v>3</v>
      </c>
      <c r="J20" s="49" t="str">
        <f t="shared" si="37"/>
        <v>LT 3</v>
      </c>
      <c r="K20" s="84">
        <f>'HKQ7'!Q22</f>
        <v>4785.3</v>
      </c>
      <c r="L20" s="84">
        <f>'HKQ7'!P22</f>
        <v>5048.5</v>
      </c>
      <c r="M20" s="84">
        <f>'[1]April-18'!M20</f>
        <v>1</v>
      </c>
      <c r="N20" s="84">
        <f t="shared" si="31"/>
        <v>263.19999999999982</v>
      </c>
      <c r="O20" s="84">
        <f>'HKQ7'!F22</f>
        <v>438.5</v>
      </c>
      <c r="P20" s="84">
        <f>'HKQ7'!E22</f>
        <v>460.9</v>
      </c>
      <c r="Q20" s="84">
        <f t="shared" si="32"/>
        <v>1</v>
      </c>
      <c r="R20" s="84">
        <f t="shared" si="33"/>
        <v>22.399999999999977</v>
      </c>
      <c r="S20" s="84">
        <f>'HKQ7'!K22</f>
        <v>4023.5</v>
      </c>
      <c r="T20" s="84">
        <f>'HKQ7'!J22</f>
        <v>4272.8</v>
      </c>
      <c r="U20" s="84">
        <f>'[1]April-18'!U20</f>
        <v>1</v>
      </c>
      <c r="V20" s="84">
        <f t="shared" si="34"/>
        <v>249.30000000000018</v>
      </c>
      <c r="W20" s="84"/>
      <c r="X20" s="84"/>
      <c r="Y20" s="85">
        <f t="shared" si="35"/>
        <v>2.9244444444444428</v>
      </c>
      <c r="Z20" s="84"/>
      <c r="AA20" s="82"/>
    </row>
    <row r="21" spans="1:27" s="40" customFormat="1" ht="39.950000000000003" hidden="1" customHeight="1" x14ac:dyDescent="0.25">
      <c r="A21" s="49">
        <v>16</v>
      </c>
      <c r="B21" s="50" t="s">
        <v>43</v>
      </c>
      <c r="C21" s="56" t="str">
        <f t="shared" si="28"/>
        <v>HDKOTE/1714</v>
      </c>
      <c r="D21" s="51" t="s">
        <v>125</v>
      </c>
      <c r="E21" s="55" t="str">
        <f t="shared" ref="E21:F21" si="38">E20</f>
        <v>HKQ7</v>
      </c>
      <c r="F21" s="62">
        <f t="shared" si="38"/>
        <v>2</v>
      </c>
      <c r="G21" s="49" t="s">
        <v>221</v>
      </c>
      <c r="H21" s="64" t="s">
        <v>222</v>
      </c>
      <c r="I21" s="49">
        <f t="shared" ref="I21:J21" si="39">I20</f>
        <v>3</v>
      </c>
      <c r="J21" s="49" t="str">
        <f t="shared" si="39"/>
        <v>LT 3</v>
      </c>
      <c r="K21" s="84">
        <f>'HKQ7'!Q23</f>
        <v>5048.5</v>
      </c>
      <c r="L21" s="84">
        <f>'HKQ7'!P23</f>
        <v>5313.5</v>
      </c>
      <c r="M21" s="84">
        <f>'[1]April-18'!M21</f>
        <v>1</v>
      </c>
      <c r="N21" s="84">
        <f t="shared" si="31"/>
        <v>265</v>
      </c>
      <c r="O21" s="84">
        <f>'HKQ7'!F23</f>
        <v>460.9</v>
      </c>
      <c r="P21" s="84">
        <f>'HKQ7'!E23</f>
        <v>490.3</v>
      </c>
      <c r="Q21" s="84">
        <f t="shared" si="32"/>
        <v>1</v>
      </c>
      <c r="R21" s="84">
        <f t="shared" si="33"/>
        <v>29.400000000000034</v>
      </c>
      <c r="S21" s="84">
        <f>'HKQ7'!K23</f>
        <v>4272.8</v>
      </c>
      <c r="T21" s="84">
        <f>'HKQ7'!J23</f>
        <v>4521.1000000000004</v>
      </c>
      <c r="U21" s="84">
        <f>'[1]April-18'!U21</f>
        <v>1</v>
      </c>
      <c r="V21" s="84">
        <f t="shared" si="34"/>
        <v>248.30000000000018</v>
      </c>
      <c r="W21" s="84"/>
      <c r="X21" s="84"/>
      <c r="Y21" s="85">
        <f t="shared" si="35"/>
        <v>2.9444444444444446</v>
      </c>
      <c r="Z21" s="84"/>
      <c r="AA21" s="82"/>
    </row>
    <row r="22" spans="1:27" s="40" customFormat="1" ht="39.950000000000003" hidden="1" customHeight="1" x14ac:dyDescent="0.25">
      <c r="A22" s="93">
        <v>17</v>
      </c>
      <c r="B22" s="50" t="s">
        <v>43</v>
      </c>
      <c r="C22" s="56" t="str">
        <f t="shared" ref="C22:C35" si="40">C21</f>
        <v>HDKOTE/1714</v>
      </c>
      <c r="D22" s="51" t="s">
        <v>125</v>
      </c>
      <c r="E22" s="55" t="str">
        <f t="shared" ref="E22:F22" si="41">E21</f>
        <v>HKQ7</v>
      </c>
      <c r="F22" s="62">
        <f t="shared" si="41"/>
        <v>2</v>
      </c>
      <c r="G22" s="49" t="s">
        <v>221</v>
      </c>
      <c r="H22" s="64" t="s">
        <v>222</v>
      </c>
      <c r="I22" s="49">
        <f t="shared" ref="I22:J22" si="42">I21</f>
        <v>3</v>
      </c>
      <c r="J22" s="49" t="str">
        <f t="shared" si="42"/>
        <v>LT 3</v>
      </c>
      <c r="K22" s="84">
        <f>'HKQ7'!Q24</f>
        <v>5313.5</v>
      </c>
      <c r="L22" s="84">
        <f>'HKQ7'!P24</f>
        <v>5642</v>
      </c>
      <c r="M22" s="84">
        <f>'[1]April-18'!M22</f>
        <v>1</v>
      </c>
      <c r="N22" s="84">
        <f t="shared" ref="N22:N25" si="43">(L22-K22)*M22</f>
        <v>328.5</v>
      </c>
      <c r="O22" s="84">
        <f>'HKQ7'!F24</f>
        <v>490.3</v>
      </c>
      <c r="P22" s="84">
        <f>'HKQ7'!E24</f>
        <v>519.4</v>
      </c>
      <c r="Q22" s="84">
        <f t="shared" ref="Q22:Q35" si="44">Q21</f>
        <v>1</v>
      </c>
      <c r="R22" s="84">
        <f t="shared" ref="R22:R25" si="45">(P22-O22)*Q22</f>
        <v>29.099999999999966</v>
      </c>
      <c r="S22" s="84">
        <f>'HKQ7'!K24</f>
        <v>4521.1000000000004</v>
      </c>
      <c r="T22" s="84">
        <f>'HKQ7'!J24</f>
        <v>4813.8999999999996</v>
      </c>
      <c r="U22" s="84">
        <f>'[1]April-18'!U22</f>
        <v>1</v>
      </c>
      <c r="V22" s="84">
        <f t="shared" ref="V22:V25" si="46">(T22-S22)*U22</f>
        <v>292.79999999999927</v>
      </c>
      <c r="W22" s="84"/>
      <c r="X22" s="84"/>
      <c r="Y22" s="85">
        <f t="shared" ref="Y22:Y25" si="47">N22/30/I22</f>
        <v>3.65</v>
      </c>
      <c r="Z22" s="84"/>
      <c r="AA22" s="82"/>
    </row>
    <row r="23" spans="1:27" s="40" customFormat="1" ht="39.950000000000003" hidden="1" customHeight="1" x14ac:dyDescent="0.25">
      <c r="A23" s="94">
        <v>18</v>
      </c>
      <c r="B23" s="50" t="s">
        <v>43</v>
      </c>
      <c r="C23" s="56" t="str">
        <f t="shared" si="40"/>
        <v>HDKOTE/1714</v>
      </c>
      <c r="D23" s="51" t="s">
        <v>125</v>
      </c>
      <c r="E23" s="55" t="str">
        <f t="shared" ref="E23:F23" si="48">E22</f>
        <v>HKQ7</v>
      </c>
      <c r="F23" s="62">
        <f t="shared" si="48"/>
        <v>2</v>
      </c>
      <c r="G23" s="49" t="s">
        <v>221</v>
      </c>
      <c r="H23" s="64" t="s">
        <v>222</v>
      </c>
      <c r="I23" s="49">
        <f t="shared" ref="I23:J23" si="49">I22</f>
        <v>3</v>
      </c>
      <c r="J23" s="49" t="str">
        <f t="shared" si="49"/>
        <v>LT 3</v>
      </c>
      <c r="K23" s="84">
        <f>'HKQ7'!Q25</f>
        <v>5642</v>
      </c>
      <c r="L23" s="84">
        <f>'HKQ7'!P25</f>
        <v>5951.5</v>
      </c>
      <c r="M23" s="84">
        <f>'[1]April-18'!M23</f>
        <v>1</v>
      </c>
      <c r="N23" s="84">
        <f t="shared" si="43"/>
        <v>309.5</v>
      </c>
      <c r="O23" s="84">
        <f>'HKQ7'!F25</f>
        <v>519.4</v>
      </c>
      <c r="P23" s="84">
        <f>'HKQ7'!E25</f>
        <v>546.79999999999995</v>
      </c>
      <c r="Q23" s="84">
        <f t="shared" si="44"/>
        <v>1</v>
      </c>
      <c r="R23" s="84">
        <f t="shared" si="45"/>
        <v>27.399999999999977</v>
      </c>
      <c r="S23" s="84">
        <f>'HKQ7'!K25</f>
        <v>4813.8999999999996</v>
      </c>
      <c r="T23" s="84">
        <f>'HKQ7'!J25</f>
        <v>5093</v>
      </c>
      <c r="U23" s="84">
        <f>'[1]April-18'!U23</f>
        <v>1</v>
      </c>
      <c r="V23" s="84">
        <f t="shared" si="46"/>
        <v>279.10000000000036</v>
      </c>
      <c r="W23" s="84"/>
      <c r="X23" s="84"/>
      <c r="Y23" s="85">
        <f t="shared" si="47"/>
        <v>3.4388888888888887</v>
      </c>
      <c r="Z23" s="84"/>
      <c r="AA23" s="82"/>
    </row>
    <row r="24" spans="1:27" s="40" customFormat="1" ht="39.950000000000003" hidden="1" customHeight="1" x14ac:dyDescent="0.25">
      <c r="A24" s="95">
        <v>19</v>
      </c>
      <c r="B24" s="50" t="s">
        <v>43</v>
      </c>
      <c r="C24" s="56" t="str">
        <f t="shared" si="40"/>
        <v>HDKOTE/1714</v>
      </c>
      <c r="D24" s="51" t="s">
        <v>125</v>
      </c>
      <c r="E24" s="55" t="str">
        <f t="shared" ref="E24:F24" si="50">E23</f>
        <v>HKQ7</v>
      </c>
      <c r="F24" s="62">
        <f t="shared" si="50"/>
        <v>2</v>
      </c>
      <c r="G24" s="49" t="s">
        <v>221</v>
      </c>
      <c r="H24" s="64" t="s">
        <v>222</v>
      </c>
      <c r="I24" s="49">
        <f t="shared" ref="I24:J24" si="51">I23</f>
        <v>3</v>
      </c>
      <c r="J24" s="49" t="str">
        <f t="shared" si="51"/>
        <v>LT 3</v>
      </c>
      <c r="K24" s="84">
        <f>'HKQ7'!Q26</f>
        <v>5951.5</v>
      </c>
      <c r="L24" s="84">
        <f>'HKQ7'!P26</f>
        <v>6242.1</v>
      </c>
      <c r="M24" s="84">
        <f>'[1]April-18'!M24</f>
        <v>1</v>
      </c>
      <c r="N24" s="84">
        <f t="shared" si="43"/>
        <v>290.60000000000036</v>
      </c>
      <c r="O24" s="84">
        <f>'HKQ7'!F26</f>
        <v>546.79999999999995</v>
      </c>
      <c r="P24" s="84">
        <f>'HKQ7'!E26</f>
        <v>579</v>
      </c>
      <c r="Q24" s="84">
        <f t="shared" si="44"/>
        <v>1</v>
      </c>
      <c r="R24" s="84">
        <f t="shared" si="45"/>
        <v>32.200000000000045</v>
      </c>
      <c r="S24" s="84">
        <f>'HKQ7'!K26</f>
        <v>5093</v>
      </c>
      <c r="T24" s="84">
        <f>'HKQ7'!J26</f>
        <v>5364.4</v>
      </c>
      <c r="U24" s="84">
        <f>'[1]April-18'!U24</f>
        <v>1</v>
      </c>
      <c r="V24" s="84">
        <f t="shared" si="46"/>
        <v>271.39999999999964</v>
      </c>
      <c r="W24" s="84"/>
      <c r="X24" s="84"/>
      <c r="Y24" s="85">
        <f t="shared" si="47"/>
        <v>3.2288888888888927</v>
      </c>
      <c r="Z24" s="84"/>
      <c r="AA24" s="82"/>
    </row>
    <row r="25" spans="1:27" s="40" customFormat="1" ht="39.950000000000003" hidden="1" customHeight="1" x14ac:dyDescent="0.25">
      <c r="A25" s="49">
        <v>20</v>
      </c>
      <c r="B25" s="50" t="s">
        <v>43</v>
      </c>
      <c r="C25" s="56" t="str">
        <f t="shared" si="40"/>
        <v>HDKOTE/1714</v>
      </c>
      <c r="D25" s="51" t="s">
        <v>125</v>
      </c>
      <c r="E25" s="55" t="str">
        <f t="shared" ref="E25:F29" si="52">E24</f>
        <v>HKQ7</v>
      </c>
      <c r="F25" s="62">
        <f t="shared" si="52"/>
        <v>2</v>
      </c>
      <c r="G25" s="49" t="s">
        <v>221</v>
      </c>
      <c r="H25" s="64" t="s">
        <v>222</v>
      </c>
      <c r="I25" s="49">
        <f t="shared" ref="I25:J29" si="53">I24</f>
        <v>3</v>
      </c>
      <c r="J25" s="49" t="str">
        <f t="shared" si="53"/>
        <v>LT 3</v>
      </c>
      <c r="K25" s="84">
        <f>'HKQ7'!Q27</f>
        <v>6242.1</v>
      </c>
      <c r="L25" s="84">
        <f>'HKQ7'!P27</f>
        <v>6557.8</v>
      </c>
      <c r="M25" s="84">
        <f>'[1]April-18'!M25</f>
        <v>1</v>
      </c>
      <c r="N25" s="84">
        <f t="shared" si="43"/>
        <v>315.69999999999982</v>
      </c>
      <c r="O25" s="84">
        <f>'HKQ7'!F27</f>
        <v>579</v>
      </c>
      <c r="P25" s="84">
        <f>'HKQ7'!E27</f>
        <v>610</v>
      </c>
      <c r="Q25" s="84">
        <f t="shared" si="44"/>
        <v>1</v>
      </c>
      <c r="R25" s="84">
        <f t="shared" si="45"/>
        <v>31</v>
      </c>
      <c r="S25" s="84">
        <f>'HKQ7'!K27</f>
        <v>5364.4</v>
      </c>
      <c r="T25" s="84">
        <f>'HKQ7'!J27</f>
        <v>5636.6</v>
      </c>
      <c r="U25" s="84">
        <f>'[1]April-18'!U25</f>
        <v>1</v>
      </c>
      <c r="V25" s="84">
        <f t="shared" si="46"/>
        <v>272.20000000000073</v>
      </c>
      <c r="W25" s="84"/>
      <c r="X25" s="84"/>
      <c r="Y25" s="85">
        <f t="shared" si="47"/>
        <v>3.5077777777777759</v>
      </c>
      <c r="Z25" s="84"/>
      <c r="AA25" s="82"/>
    </row>
    <row r="26" spans="1:27" s="40" customFormat="1" ht="39.950000000000003" hidden="1" customHeight="1" x14ac:dyDescent="0.25">
      <c r="A26" s="49">
        <v>21</v>
      </c>
      <c r="B26" s="50" t="s">
        <v>43</v>
      </c>
      <c r="C26" s="56" t="str">
        <f>C14</f>
        <v>HDKOTE/1714</v>
      </c>
      <c r="D26" s="51" t="s">
        <v>125</v>
      </c>
      <c r="E26" s="55" t="str">
        <f>E14</f>
        <v>HKQ7</v>
      </c>
      <c r="F26" s="62">
        <f>F14</f>
        <v>2</v>
      </c>
      <c r="G26" s="49" t="s">
        <v>221</v>
      </c>
      <c r="H26" s="64" t="s">
        <v>222</v>
      </c>
      <c r="I26" s="49">
        <f>I14</f>
        <v>3</v>
      </c>
      <c r="J26" s="49" t="str">
        <f>J14</f>
        <v>LT 3</v>
      </c>
      <c r="K26" s="84">
        <f>'HKQ7'!Q28</f>
        <v>6557.8</v>
      </c>
      <c r="L26" s="84">
        <f>'HKQ7'!P28</f>
        <v>6861</v>
      </c>
      <c r="M26" s="84">
        <f>'[1]April-18'!M15</f>
        <v>1</v>
      </c>
      <c r="N26" s="84">
        <f t="shared" si="12"/>
        <v>303.19999999999982</v>
      </c>
      <c r="O26" s="84">
        <f>'HKQ7'!F28</f>
        <v>610</v>
      </c>
      <c r="P26" s="84">
        <f>'HKQ7'!E28</f>
        <v>636.5</v>
      </c>
      <c r="Q26" s="84">
        <f>Q14</f>
        <v>1</v>
      </c>
      <c r="R26" s="84">
        <f t="shared" si="13"/>
        <v>26.5</v>
      </c>
      <c r="S26" s="84">
        <f>'HKQ7'!K28</f>
        <v>5636.6</v>
      </c>
      <c r="T26" s="84">
        <f>'HKQ7'!J28</f>
        <v>5933.8</v>
      </c>
      <c r="U26" s="84">
        <f>'[1]April-18'!U15</f>
        <v>1</v>
      </c>
      <c r="V26" s="84">
        <f t="shared" si="14"/>
        <v>297.19999999999982</v>
      </c>
      <c r="W26" s="84"/>
      <c r="X26" s="84"/>
      <c r="Y26" s="85">
        <f>N26/30/I26</f>
        <v>3.3688888888888866</v>
      </c>
      <c r="Z26" s="84"/>
      <c r="AA26" s="82" t="s">
        <v>262</v>
      </c>
    </row>
    <row r="27" spans="1:27" s="40" customFormat="1" ht="39.950000000000003" hidden="1" customHeight="1" x14ac:dyDescent="0.25">
      <c r="A27" s="49">
        <v>22</v>
      </c>
      <c r="B27" s="50" t="s">
        <v>43</v>
      </c>
      <c r="C27" s="56" t="str">
        <f t="shared" si="40"/>
        <v>HDKOTE/1714</v>
      </c>
      <c r="D27" s="51" t="s">
        <v>125</v>
      </c>
      <c r="E27" s="55" t="str">
        <f t="shared" si="52"/>
        <v>HKQ7</v>
      </c>
      <c r="F27" s="62">
        <f t="shared" si="52"/>
        <v>2</v>
      </c>
      <c r="G27" s="49" t="s">
        <v>221</v>
      </c>
      <c r="H27" s="64" t="s">
        <v>222</v>
      </c>
      <c r="I27" s="49">
        <f t="shared" si="53"/>
        <v>3</v>
      </c>
      <c r="J27" s="49" t="str">
        <f t="shared" si="53"/>
        <v>LT 3</v>
      </c>
      <c r="K27" s="84">
        <f>'HKQ7'!Q29</f>
        <v>6861</v>
      </c>
      <c r="L27" s="84">
        <f>'HKQ7'!P29</f>
        <v>7219.5</v>
      </c>
      <c r="M27" s="84">
        <f>M26</f>
        <v>1</v>
      </c>
      <c r="N27" s="84">
        <f t="shared" si="12"/>
        <v>358.5</v>
      </c>
      <c r="O27" s="84">
        <f>'HKQ7'!F29</f>
        <v>636.5</v>
      </c>
      <c r="P27" s="84">
        <f>'HKQ7'!E29</f>
        <v>664.6</v>
      </c>
      <c r="Q27" s="84">
        <f t="shared" si="44"/>
        <v>1</v>
      </c>
      <c r="R27" s="84">
        <f t="shared" si="13"/>
        <v>28.100000000000023</v>
      </c>
      <c r="S27" s="84">
        <f>'HKQ7'!K29</f>
        <v>5933.8</v>
      </c>
      <c r="T27" s="84">
        <f>'HKQ7'!J29</f>
        <v>6243.2</v>
      </c>
      <c r="U27" s="84">
        <f>U26</f>
        <v>1</v>
      </c>
      <c r="V27" s="84">
        <f t="shared" si="14"/>
        <v>309.39999999999964</v>
      </c>
      <c r="W27" s="84"/>
      <c r="X27" s="84"/>
      <c r="Y27" s="85">
        <f t="shared" ref="Y27" si="54">N27/30/I27</f>
        <v>3.9833333333333329</v>
      </c>
      <c r="Z27" s="84"/>
      <c r="AA27" s="82"/>
    </row>
    <row r="28" spans="1:27" s="40" customFormat="1" ht="39.950000000000003" hidden="1" customHeight="1" x14ac:dyDescent="0.25">
      <c r="A28" s="49">
        <v>23</v>
      </c>
      <c r="B28" s="50" t="s">
        <v>43</v>
      </c>
      <c r="C28" s="56" t="str">
        <f>C16</f>
        <v>HDKOTE/1714</v>
      </c>
      <c r="D28" s="51" t="s">
        <v>125</v>
      </c>
      <c r="E28" s="55" t="str">
        <f>E16</f>
        <v>HKQ7</v>
      </c>
      <c r="F28" s="62">
        <f>F16</f>
        <v>2</v>
      </c>
      <c r="G28" s="49" t="s">
        <v>221</v>
      </c>
      <c r="H28" s="64" t="s">
        <v>222</v>
      </c>
      <c r="I28" s="49">
        <f>I16</f>
        <v>3</v>
      </c>
      <c r="J28" s="49" t="str">
        <f>J16</f>
        <v>LT 3</v>
      </c>
      <c r="K28" s="84">
        <f>'HKQ7'!Q31</f>
        <v>7219.5</v>
      </c>
      <c r="L28" s="84">
        <f>'HKQ7'!P31</f>
        <v>7579.5</v>
      </c>
      <c r="M28" s="84">
        <f>'[1]April-18'!M17</f>
        <v>1</v>
      </c>
      <c r="N28" s="84">
        <f t="shared" ref="N28:N31" si="55">(L28-K28)*M28</f>
        <v>360</v>
      </c>
      <c r="O28" s="84">
        <f>'HKQ7'!F31</f>
        <v>664.6</v>
      </c>
      <c r="P28" s="84">
        <f>'HKQ7'!E31</f>
        <v>693.6</v>
      </c>
      <c r="Q28" s="84">
        <f>Q16</f>
        <v>1</v>
      </c>
      <c r="R28" s="84">
        <f t="shared" ref="R28:R31" si="56">(P28-O28)*Q28</f>
        <v>29</v>
      </c>
      <c r="S28" s="84">
        <f>'HKQ7'!K31</f>
        <v>6243.2</v>
      </c>
      <c r="T28" s="84">
        <f>'HKQ7'!J31</f>
        <v>6553.2</v>
      </c>
      <c r="U28" s="84">
        <f>'[1]April-18'!U17</f>
        <v>1</v>
      </c>
      <c r="V28" s="84">
        <f t="shared" ref="V28:V31" si="57">(T28-S28)*U28</f>
        <v>310</v>
      </c>
      <c r="W28" s="84"/>
      <c r="X28" s="84"/>
      <c r="Y28" s="85">
        <f>N28/30/I28</f>
        <v>4</v>
      </c>
      <c r="Z28" s="84"/>
      <c r="AA28" s="82"/>
    </row>
    <row r="29" spans="1:27" s="40" customFormat="1" ht="39.950000000000003" hidden="1" customHeight="1" x14ac:dyDescent="0.25">
      <c r="A29" s="49">
        <v>24</v>
      </c>
      <c r="B29" s="50" t="s">
        <v>43</v>
      </c>
      <c r="C29" s="56" t="str">
        <f t="shared" si="40"/>
        <v>HDKOTE/1714</v>
      </c>
      <c r="D29" s="51" t="s">
        <v>125</v>
      </c>
      <c r="E29" s="55" t="str">
        <f t="shared" si="52"/>
        <v>HKQ7</v>
      </c>
      <c r="F29" s="62">
        <f t="shared" si="52"/>
        <v>2</v>
      </c>
      <c r="G29" s="49" t="s">
        <v>221</v>
      </c>
      <c r="H29" s="64" t="s">
        <v>222</v>
      </c>
      <c r="I29" s="49">
        <f t="shared" si="53"/>
        <v>3</v>
      </c>
      <c r="J29" s="49" t="str">
        <f t="shared" si="53"/>
        <v>LT 3</v>
      </c>
      <c r="K29" s="84">
        <f>'HKQ7'!Q32</f>
        <v>7579.5</v>
      </c>
      <c r="L29" s="84">
        <f>'HKQ7'!P32</f>
        <v>7744.2</v>
      </c>
      <c r="M29" s="84">
        <f>M28</f>
        <v>1</v>
      </c>
      <c r="N29" s="84">
        <f t="shared" si="55"/>
        <v>164.69999999999982</v>
      </c>
      <c r="O29" s="84">
        <f>'HKQ7'!F32</f>
        <v>693.6</v>
      </c>
      <c r="P29" s="84">
        <f>'HKQ7'!E32</f>
        <v>763.9</v>
      </c>
      <c r="Q29" s="84">
        <f t="shared" si="44"/>
        <v>1</v>
      </c>
      <c r="R29" s="84">
        <f t="shared" si="56"/>
        <v>70.299999999999955</v>
      </c>
      <c r="S29" s="84">
        <f>'HKQ7'!K32</f>
        <v>6553.2</v>
      </c>
      <c r="T29" s="84">
        <f>'HKQ7'!J32</f>
        <v>6689</v>
      </c>
      <c r="U29" s="84">
        <f>U28</f>
        <v>1</v>
      </c>
      <c r="V29" s="84">
        <f t="shared" si="57"/>
        <v>135.80000000000018</v>
      </c>
      <c r="W29" s="84"/>
      <c r="X29" s="84"/>
      <c r="Y29" s="85">
        <f t="shared" ref="Y29:Y32" si="58">N29/30/I29</f>
        <v>1.8299999999999981</v>
      </c>
      <c r="Z29" s="84"/>
      <c r="AA29" s="82"/>
    </row>
    <row r="30" spans="1:27" s="40" customFormat="1" ht="39.950000000000003" hidden="1" customHeight="1" x14ac:dyDescent="0.25">
      <c r="A30" s="49">
        <v>25</v>
      </c>
      <c r="B30" s="50" t="s">
        <v>43</v>
      </c>
      <c r="C30" s="56" t="str">
        <f t="shared" ref="C30" si="59">C18</f>
        <v>HDKOTE/1714</v>
      </c>
      <c r="D30" s="51" t="s">
        <v>125</v>
      </c>
      <c r="E30" s="55" t="str">
        <f t="shared" ref="E30:F30" si="60">E18</f>
        <v>HKQ7</v>
      </c>
      <c r="F30" s="62">
        <f t="shared" si="60"/>
        <v>2</v>
      </c>
      <c r="G30" s="49" t="s">
        <v>221</v>
      </c>
      <c r="H30" s="64" t="s">
        <v>222</v>
      </c>
      <c r="I30" s="49">
        <f t="shared" ref="I30:J30" si="61">I18</f>
        <v>3</v>
      </c>
      <c r="J30" s="49" t="str">
        <f t="shared" si="61"/>
        <v>LT 3</v>
      </c>
      <c r="K30" s="84">
        <f>'HKQ7'!Q33</f>
        <v>7744.2</v>
      </c>
      <c r="L30" s="84">
        <f>'HKQ7'!P33</f>
        <v>8007.8</v>
      </c>
      <c r="M30" s="84">
        <f>'[1]April-18'!M19</f>
        <v>1</v>
      </c>
      <c r="N30" s="84">
        <f t="shared" si="55"/>
        <v>263.60000000000036</v>
      </c>
      <c r="O30" s="84">
        <f>'HKQ7'!F33</f>
        <v>763.9</v>
      </c>
      <c r="P30" s="84">
        <f>'HKQ7'!E33</f>
        <v>845.2</v>
      </c>
      <c r="Q30" s="84">
        <f t="shared" ref="Q30" si="62">Q18</f>
        <v>1</v>
      </c>
      <c r="R30" s="84">
        <f t="shared" si="56"/>
        <v>81.300000000000068</v>
      </c>
      <c r="S30" s="84">
        <f>'HKQ7'!K33</f>
        <v>6689</v>
      </c>
      <c r="T30" s="84">
        <f>'HKQ7'!J33</f>
        <v>6925.4</v>
      </c>
      <c r="U30" s="84">
        <f>'[1]April-18'!U19</f>
        <v>1</v>
      </c>
      <c r="V30" s="84">
        <f t="shared" si="57"/>
        <v>236.39999999999964</v>
      </c>
      <c r="W30" s="84"/>
      <c r="X30" s="84"/>
      <c r="Y30" s="85">
        <f t="shared" si="58"/>
        <v>2.9288888888888933</v>
      </c>
      <c r="Z30" s="84"/>
      <c r="AA30" s="82"/>
    </row>
    <row r="31" spans="1:27" s="40" customFormat="1" ht="39.950000000000003" hidden="1" customHeight="1" x14ac:dyDescent="0.25">
      <c r="A31" s="49">
        <v>26</v>
      </c>
      <c r="B31" s="50" t="s">
        <v>43</v>
      </c>
      <c r="C31" s="56" t="str">
        <f t="shared" si="40"/>
        <v>HDKOTE/1714</v>
      </c>
      <c r="D31" s="51" t="s">
        <v>125</v>
      </c>
      <c r="E31" s="55" t="str">
        <f t="shared" ref="E31:F31" si="63">E30</f>
        <v>HKQ7</v>
      </c>
      <c r="F31" s="62">
        <f t="shared" si="63"/>
        <v>2</v>
      </c>
      <c r="G31" s="49" t="s">
        <v>221</v>
      </c>
      <c r="H31" s="64" t="s">
        <v>222</v>
      </c>
      <c r="I31" s="49">
        <f t="shared" ref="I31:J31" si="64">I30</f>
        <v>3</v>
      </c>
      <c r="J31" s="49" t="str">
        <f t="shared" si="64"/>
        <v>LT 3</v>
      </c>
      <c r="K31" s="84">
        <f>'HKQ7'!Q34</f>
        <v>8007.8</v>
      </c>
      <c r="L31" s="84">
        <f>'HKQ7'!P34</f>
        <v>8268.2000000000007</v>
      </c>
      <c r="M31" s="84">
        <f t="shared" ref="M31" si="65">M30</f>
        <v>1</v>
      </c>
      <c r="N31" s="84">
        <f t="shared" si="55"/>
        <v>260.40000000000055</v>
      </c>
      <c r="O31" s="84">
        <f>'HKQ7'!F34</f>
        <v>845.2</v>
      </c>
      <c r="P31" s="84">
        <f>'HKQ7'!E34</f>
        <v>916.1</v>
      </c>
      <c r="Q31" s="84">
        <f t="shared" si="44"/>
        <v>1</v>
      </c>
      <c r="R31" s="84">
        <f t="shared" si="56"/>
        <v>70.899999999999977</v>
      </c>
      <c r="S31" s="84">
        <f>'HKQ7'!K34</f>
        <v>6925.4</v>
      </c>
      <c r="T31" s="84">
        <f>'HKQ7'!J34</f>
        <v>7118.5</v>
      </c>
      <c r="U31" s="84">
        <f t="shared" ref="U31" si="66">U30</f>
        <v>1</v>
      </c>
      <c r="V31" s="84">
        <f t="shared" si="57"/>
        <v>193.10000000000036</v>
      </c>
      <c r="W31" s="84"/>
      <c r="X31" s="84"/>
      <c r="Y31" s="85">
        <f t="shared" si="58"/>
        <v>2.8933333333333393</v>
      </c>
      <c r="Z31" s="84"/>
      <c r="AA31" s="82"/>
    </row>
    <row r="32" spans="1:27" s="40" customFormat="1" ht="39.950000000000003" hidden="1" customHeight="1" x14ac:dyDescent="0.25">
      <c r="A32" s="49">
        <v>27</v>
      </c>
      <c r="B32" s="50" t="s">
        <v>43</v>
      </c>
      <c r="C32" s="56" t="str">
        <f t="shared" ref="C32" si="67">C20</f>
        <v>HDKOTE/1714</v>
      </c>
      <c r="D32" s="51" t="s">
        <v>125</v>
      </c>
      <c r="E32" s="55" t="str">
        <f t="shared" ref="E32:F32" si="68">E20</f>
        <v>HKQ7</v>
      </c>
      <c r="F32" s="62">
        <f t="shared" si="68"/>
        <v>2</v>
      </c>
      <c r="G32" s="49" t="s">
        <v>221</v>
      </c>
      <c r="H32" s="64" t="s">
        <v>222</v>
      </c>
      <c r="I32" s="49">
        <f t="shared" ref="I32:J32" si="69">I20</f>
        <v>3</v>
      </c>
      <c r="J32" s="49" t="str">
        <f t="shared" si="69"/>
        <v>LT 3</v>
      </c>
      <c r="K32" s="84">
        <f>'HKQ7'!Q35</f>
        <v>8268.2000000000007</v>
      </c>
      <c r="L32" s="84">
        <f>'HKQ7'!P35</f>
        <v>8522.2000000000007</v>
      </c>
      <c r="M32" s="84">
        <f>'[1]April-18'!M21</f>
        <v>1</v>
      </c>
      <c r="N32" s="84">
        <f t="shared" ref="N32:N35" si="70">(L32-K32)*M32</f>
        <v>254</v>
      </c>
      <c r="O32" s="84">
        <f>'HKQ7'!F35</f>
        <v>916.1</v>
      </c>
      <c r="P32" s="84">
        <f>'HKQ7'!E35</f>
        <v>986.2</v>
      </c>
      <c r="Q32" s="84">
        <f t="shared" ref="Q32" si="71">Q20</f>
        <v>1</v>
      </c>
      <c r="R32" s="84">
        <f t="shared" ref="R32:R35" si="72">(P32-O32)*Q32</f>
        <v>70.100000000000023</v>
      </c>
      <c r="S32" s="84">
        <f>'HKQ7'!K35</f>
        <v>7118.5</v>
      </c>
      <c r="T32" s="84">
        <f>'HKQ7'!J35</f>
        <v>7325.4</v>
      </c>
      <c r="U32" s="84">
        <f>'[1]April-18'!U21</f>
        <v>1</v>
      </c>
      <c r="V32" s="84">
        <f t="shared" ref="V32:V35" si="73">(T32-S32)*U32</f>
        <v>206.89999999999964</v>
      </c>
      <c r="W32" s="84"/>
      <c r="X32" s="84"/>
      <c r="Y32" s="85">
        <f t="shared" si="58"/>
        <v>2.8222222222222224</v>
      </c>
      <c r="Z32" s="84"/>
      <c r="AA32" s="82"/>
    </row>
    <row r="33" spans="1:29" s="40" customFormat="1" ht="39.950000000000003" hidden="1" customHeight="1" x14ac:dyDescent="0.25">
      <c r="A33" s="49">
        <v>28</v>
      </c>
      <c r="B33" s="50" t="s">
        <v>43</v>
      </c>
      <c r="C33" s="56" t="str">
        <f t="shared" si="40"/>
        <v>HDKOTE/1714</v>
      </c>
      <c r="D33" s="51" t="s">
        <v>125</v>
      </c>
      <c r="E33" s="55" t="str">
        <f t="shared" ref="E33:F33" si="74">E32</f>
        <v>HKQ7</v>
      </c>
      <c r="F33" s="62">
        <f t="shared" si="74"/>
        <v>2</v>
      </c>
      <c r="G33" s="49" t="s">
        <v>221</v>
      </c>
      <c r="H33" s="64" t="s">
        <v>222</v>
      </c>
      <c r="I33" s="49">
        <f t="shared" ref="I33:J33" si="75">I32</f>
        <v>3</v>
      </c>
      <c r="J33" s="49" t="str">
        <f t="shared" si="75"/>
        <v>LT 3</v>
      </c>
      <c r="K33" s="84">
        <f>'HKQ7'!Q36</f>
        <v>8522.2000000000007</v>
      </c>
      <c r="L33" s="84">
        <f>'HKQ7'!P36</f>
        <v>8819.5</v>
      </c>
      <c r="M33" s="84">
        <f t="shared" ref="M33" si="76">M32</f>
        <v>1</v>
      </c>
      <c r="N33" s="84">
        <f t="shared" si="70"/>
        <v>297.29999999999927</v>
      </c>
      <c r="O33" s="84">
        <f>'HKQ7'!F36</f>
        <v>986.2</v>
      </c>
      <c r="P33" s="84">
        <f>'HKQ7'!E36</f>
        <v>1056.2</v>
      </c>
      <c r="Q33" s="84">
        <f t="shared" si="44"/>
        <v>1</v>
      </c>
      <c r="R33" s="84">
        <f t="shared" si="72"/>
        <v>70</v>
      </c>
      <c r="S33" s="84">
        <f>'HKQ7'!K36</f>
        <v>7325.4</v>
      </c>
      <c r="T33" s="84">
        <f>'HKQ7'!J36</f>
        <v>7561.8</v>
      </c>
      <c r="U33" s="84">
        <f t="shared" ref="U33" si="77">U32</f>
        <v>1</v>
      </c>
      <c r="V33" s="84">
        <f>(T33-S33)*U33</f>
        <v>236.40000000000055</v>
      </c>
      <c r="W33" s="84">
        <f>'HKQ7'!U36</f>
        <v>0.25</v>
      </c>
      <c r="X33" s="84">
        <f>'HKQ7'!V36</f>
        <v>0.99</v>
      </c>
      <c r="Y33" s="85">
        <f t="shared" ref="Y33:Y35" si="78">N33/30/I33</f>
        <v>3.3033333333333252</v>
      </c>
      <c r="Z33" s="84"/>
      <c r="AA33" s="82"/>
    </row>
    <row r="34" spans="1:29" s="40" customFormat="1" ht="39.950000000000003" hidden="1" customHeight="1" x14ac:dyDescent="0.25">
      <c r="A34" s="49">
        <v>29</v>
      </c>
      <c r="B34" s="50" t="s">
        <v>43</v>
      </c>
      <c r="C34" s="56" t="str">
        <f t="shared" ref="C34" si="79">C22</f>
        <v>HDKOTE/1714</v>
      </c>
      <c r="D34" s="51" t="s">
        <v>125</v>
      </c>
      <c r="E34" s="55" t="str">
        <f t="shared" ref="E34:F34" si="80">E22</f>
        <v>HKQ7</v>
      </c>
      <c r="F34" s="62">
        <f t="shared" si="80"/>
        <v>2</v>
      </c>
      <c r="G34" s="49" t="s">
        <v>221</v>
      </c>
      <c r="H34" s="64" t="s">
        <v>222</v>
      </c>
      <c r="I34" s="49">
        <f t="shared" ref="I34:J34" si="81">I22</f>
        <v>3</v>
      </c>
      <c r="J34" s="49" t="str">
        <f t="shared" si="81"/>
        <v>LT 3</v>
      </c>
      <c r="K34" s="84">
        <f>'HKQ7'!Q37</f>
        <v>8819.5</v>
      </c>
      <c r="L34" s="84">
        <f>'HKQ7'!P37</f>
        <v>9164.7999999999993</v>
      </c>
      <c r="M34" s="84">
        <f>'[1]April-18'!M23</f>
        <v>1</v>
      </c>
      <c r="N34" s="84">
        <f t="shared" si="70"/>
        <v>345.29999999999927</v>
      </c>
      <c r="O34" s="84">
        <f>'HKQ7'!F37</f>
        <v>1056.2</v>
      </c>
      <c r="P34" s="84">
        <f>'HKQ7'!E37</f>
        <v>1135.2</v>
      </c>
      <c r="Q34" s="84">
        <f t="shared" ref="Q34" si="82">Q22</f>
        <v>1</v>
      </c>
      <c r="R34" s="84">
        <f t="shared" si="72"/>
        <v>79</v>
      </c>
      <c r="S34" s="84">
        <f>'HKQ7'!K37</f>
        <v>7561.8</v>
      </c>
      <c r="T34" s="84">
        <f>'HKQ7'!J37</f>
        <v>7788.8</v>
      </c>
      <c r="U34" s="84">
        <f>'[1]April-18'!U23</f>
        <v>1</v>
      </c>
      <c r="V34" s="84">
        <f t="shared" si="73"/>
        <v>227</v>
      </c>
      <c r="W34" s="84">
        <f>'HKQ7'!U37</f>
        <v>0.33</v>
      </c>
      <c r="X34" s="84">
        <f>'HKQ7'!V37</f>
        <v>0.87</v>
      </c>
      <c r="Y34" s="85">
        <f t="shared" si="78"/>
        <v>3.8366666666666585</v>
      </c>
      <c r="Z34" s="84"/>
      <c r="AA34" s="82"/>
    </row>
    <row r="35" spans="1:29" s="40" customFormat="1" ht="39.950000000000003" customHeight="1" x14ac:dyDescent="0.25">
      <c r="A35" s="49">
        <v>30</v>
      </c>
      <c r="B35" s="50" t="s">
        <v>43</v>
      </c>
      <c r="C35" s="56" t="str">
        <f t="shared" si="40"/>
        <v>HDKOTE/1714</v>
      </c>
      <c r="D35" s="51" t="s">
        <v>125</v>
      </c>
      <c r="E35" s="55" t="str">
        <f t="shared" ref="E35:F35" si="83">E34</f>
        <v>HKQ7</v>
      </c>
      <c r="F35" s="62">
        <f t="shared" si="83"/>
        <v>2</v>
      </c>
      <c r="G35" s="49" t="s">
        <v>221</v>
      </c>
      <c r="H35" s="64" t="s">
        <v>222</v>
      </c>
      <c r="I35" s="49">
        <f t="shared" ref="I35:J35" si="84">I34</f>
        <v>3</v>
      </c>
      <c r="J35" s="49" t="str">
        <f t="shared" si="84"/>
        <v>LT 3</v>
      </c>
      <c r="K35" s="84">
        <f>'HKQ7'!Q38</f>
        <v>9164.7999999999993</v>
      </c>
      <c r="L35" s="84">
        <f>'HKQ7'!P38</f>
        <v>9349</v>
      </c>
      <c r="M35" s="84">
        <f t="shared" ref="M35" si="85">M34</f>
        <v>1</v>
      </c>
      <c r="N35" s="84">
        <f t="shared" si="70"/>
        <v>184.20000000000073</v>
      </c>
      <c r="O35" s="84">
        <f>'HKQ7'!F38</f>
        <v>1135.2</v>
      </c>
      <c r="P35" s="84">
        <f>'HKQ7'!E38</f>
        <v>1214.0999999999999</v>
      </c>
      <c r="Q35" s="84">
        <f t="shared" si="44"/>
        <v>1</v>
      </c>
      <c r="R35" s="84">
        <f t="shared" si="72"/>
        <v>78.899999999999864</v>
      </c>
      <c r="S35" s="84">
        <f>'HKQ7'!K38</f>
        <v>7788.8</v>
      </c>
      <c r="T35" s="84">
        <f>'HKQ7'!J38</f>
        <v>7948.1</v>
      </c>
      <c r="U35" s="84">
        <f t="shared" ref="U35" si="86">U34</f>
        <v>1</v>
      </c>
      <c r="V35" s="84">
        <f t="shared" si="73"/>
        <v>159.30000000000018</v>
      </c>
      <c r="W35" s="84">
        <f>'HKQ7'!U38</f>
        <v>0.3</v>
      </c>
      <c r="X35" s="84">
        <f>'HKQ7'!V38</f>
        <v>0.98</v>
      </c>
      <c r="Y35" s="85">
        <f t="shared" si="78"/>
        <v>2.0466666666666748</v>
      </c>
      <c r="Z35" s="84"/>
      <c r="AA35" s="82"/>
    </row>
    <row r="36" spans="1:29" s="40" customFormat="1" ht="39.950000000000003" hidden="1" customHeight="1" x14ac:dyDescent="0.25">
      <c r="A36" s="49"/>
      <c r="B36" s="50"/>
      <c r="C36" s="56"/>
      <c r="D36" s="51"/>
      <c r="E36" s="55"/>
      <c r="F36" s="62"/>
      <c r="G36" s="49"/>
      <c r="H36" s="64"/>
      <c r="I36" s="49"/>
      <c r="J36" s="49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  <c r="Z36" s="84"/>
      <c r="AA36" s="82"/>
    </row>
    <row r="37" spans="1:29" s="40" customFormat="1" ht="39.950000000000003" hidden="1" customHeight="1" x14ac:dyDescent="0.25">
      <c r="A37" s="49"/>
      <c r="B37" s="50"/>
      <c r="C37" s="56"/>
      <c r="D37" s="51"/>
      <c r="E37" s="55"/>
      <c r="F37" s="62"/>
      <c r="G37" s="49"/>
      <c r="H37" s="64"/>
      <c r="I37" s="49"/>
      <c r="J37" s="49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5"/>
      <c r="Z37" s="84"/>
      <c r="AA37" s="82"/>
    </row>
    <row r="38" spans="1:29" s="40" customFormat="1" ht="39.950000000000003" hidden="1" customHeight="1" x14ac:dyDescent="0.25">
      <c r="A38" s="49">
        <v>1</v>
      </c>
      <c r="B38" s="50" t="s">
        <v>43</v>
      </c>
      <c r="C38" s="56" t="s">
        <v>229</v>
      </c>
      <c r="D38" s="51" t="s">
        <v>133</v>
      </c>
      <c r="E38" s="55" t="s">
        <v>129</v>
      </c>
      <c r="F38" s="50">
        <v>3</v>
      </c>
      <c r="G38" s="49" t="s">
        <v>221</v>
      </c>
      <c r="H38" s="64" t="s">
        <v>222</v>
      </c>
      <c r="I38" s="49">
        <v>3</v>
      </c>
      <c r="J38" s="49" t="s">
        <v>224</v>
      </c>
      <c r="K38" s="84">
        <f>HAEH224!Q8</f>
        <v>1593.02</v>
      </c>
      <c r="L38" s="84">
        <f>HAEH224!P8</f>
        <v>1871</v>
      </c>
      <c r="M38" s="84">
        <f>'[1]April-18'!M7</f>
        <v>1</v>
      </c>
      <c r="N38" s="84">
        <f t="shared" si="0"/>
        <v>277.98</v>
      </c>
      <c r="O38" s="84">
        <f>HAEH224!F8</f>
        <v>85.4</v>
      </c>
      <c r="P38" s="84">
        <f>HAEH224!E8</f>
        <v>171.8</v>
      </c>
      <c r="Q38" s="84">
        <v>1</v>
      </c>
      <c r="R38" s="84">
        <f t="shared" si="7"/>
        <v>86.4</v>
      </c>
      <c r="S38" s="84">
        <f>HAEH224!K8</f>
        <v>195.2</v>
      </c>
      <c r="T38" s="84">
        <f>HAEH224!J8</f>
        <v>402.6</v>
      </c>
      <c r="U38" s="84">
        <f>'[1]April-18'!U7</f>
        <v>1</v>
      </c>
      <c r="V38" s="84">
        <f t="shared" si="8"/>
        <v>207.40000000000003</v>
      </c>
      <c r="W38" s="84"/>
      <c r="X38" s="84"/>
      <c r="Y38" s="85">
        <f t="shared" ref="Y38:Y437" si="87">N38/30/I38</f>
        <v>3.0886666666666667</v>
      </c>
      <c r="Z38" s="86"/>
      <c r="AA38" s="82" t="str">
        <f>HAEH224!B8</f>
        <v>01.08.2019</v>
      </c>
      <c r="AC38" s="40">
        <f>R38+R41+R75+R107+R140+R173+R237+R241+R274+R307+R340+R374+R407+R440+R505+R539+R572</f>
        <v>2594.0999999999995</v>
      </c>
    </row>
    <row r="39" spans="1:29" s="40" customFormat="1" ht="39.950000000000003" hidden="1" customHeight="1" x14ac:dyDescent="0.25">
      <c r="A39" s="49">
        <v>2</v>
      </c>
      <c r="B39" s="50" t="s">
        <v>43</v>
      </c>
      <c r="C39" s="56" t="str">
        <f>C38</f>
        <v>HDKOTE/1714</v>
      </c>
      <c r="D39" s="51" t="s">
        <v>133</v>
      </c>
      <c r="E39" s="55" t="str">
        <f>E38</f>
        <v>HAEH224</v>
      </c>
      <c r="F39" s="50">
        <f>F38</f>
        <v>3</v>
      </c>
      <c r="G39" s="49" t="s">
        <v>221</v>
      </c>
      <c r="H39" s="64" t="s">
        <v>222</v>
      </c>
      <c r="I39" s="49">
        <f>I38</f>
        <v>3</v>
      </c>
      <c r="J39" s="49" t="str">
        <f>J38</f>
        <v>LT 3</v>
      </c>
      <c r="K39" s="84">
        <f>HAEH224!Q9</f>
        <v>1871</v>
      </c>
      <c r="L39" s="84">
        <f>HAEH224!P9</f>
        <v>2103</v>
      </c>
      <c r="M39" s="84">
        <f>'[1]April-18'!M8</f>
        <v>1</v>
      </c>
      <c r="N39" s="84">
        <f t="shared" si="0"/>
        <v>232</v>
      </c>
      <c r="O39" s="84">
        <f>HAEH224!F9</f>
        <v>171.8</v>
      </c>
      <c r="P39" s="84">
        <f>HAEH224!E9</f>
        <v>267</v>
      </c>
      <c r="Q39" s="84">
        <f>Q38</f>
        <v>1</v>
      </c>
      <c r="R39" s="84">
        <f t="shared" si="7"/>
        <v>95.199999999999989</v>
      </c>
      <c r="S39" s="84">
        <f>HAEH224!K9</f>
        <v>402.6</v>
      </c>
      <c r="T39" s="84">
        <f>HAEH224!J9</f>
        <v>568</v>
      </c>
      <c r="U39" s="84">
        <f>'[1]April-18'!U8</f>
        <v>1</v>
      </c>
      <c r="V39" s="84">
        <f t="shared" si="8"/>
        <v>165.39999999999998</v>
      </c>
      <c r="W39" s="84"/>
      <c r="X39" s="84"/>
      <c r="Y39" s="85">
        <f t="shared" si="87"/>
        <v>2.5777777777777779</v>
      </c>
      <c r="Z39" s="86"/>
      <c r="AA39" s="82" t="str">
        <f>HAEH224!B9</f>
        <v>01.09.2019</v>
      </c>
      <c r="AC39" s="40">
        <f>R39+R72+R104+R137+R170+R203+R238+R271+R304+R337+R371+R404+R437+R470+R536+R569+R603</f>
        <v>3035.9000000000005</v>
      </c>
    </row>
    <row r="40" spans="1:29" s="40" customFormat="1" ht="39.950000000000003" hidden="1" customHeight="1" x14ac:dyDescent="0.25">
      <c r="A40" s="49">
        <v>3</v>
      </c>
      <c r="B40" s="50" t="s">
        <v>43</v>
      </c>
      <c r="C40" s="56" t="str">
        <f>C39</f>
        <v>HDKOTE/1714</v>
      </c>
      <c r="D40" s="51" t="s">
        <v>133</v>
      </c>
      <c r="E40" s="55" t="str">
        <f>E39</f>
        <v>HAEH224</v>
      </c>
      <c r="F40" s="50">
        <f>F39</f>
        <v>3</v>
      </c>
      <c r="G40" s="49" t="s">
        <v>221</v>
      </c>
      <c r="H40" s="64" t="s">
        <v>222</v>
      </c>
      <c r="I40" s="49">
        <f>I39</f>
        <v>3</v>
      </c>
      <c r="J40" s="49" t="str">
        <f>J39</f>
        <v>LT 3</v>
      </c>
      <c r="K40" s="84">
        <f>HAEH224!Q10</f>
        <v>2103</v>
      </c>
      <c r="L40" s="84">
        <f>HAEH224!P10</f>
        <v>2393.1999999999998</v>
      </c>
      <c r="M40" s="84">
        <f>'[1]April-18'!M9</f>
        <v>1</v>
      </c>
      <c r="N40" s="84">
        <f t="shared" si="0"/>
        <v>290.19999999999982</v>
      </c>
      <c r="O40" s="84">
        <f>HAEH224!F10</f>
        <v>267</v>
      </c>
      <c r="P40" s="84">
        <f>HAEH224!E10</f>
        <v>358.5</v>
      </c>
      <c r="Q40" s="84">
        <f>Q39</f>
        <v>1</v>
      </c>
      <c r="R40" s="84">
        <f t="shared" si="7"/>
        <v>91.5</v>
      </c>
      <c r="S40" s="84">
        <f>HAEH224!K10</f>
        <v>568</v>
      </c>
      <c r="T40" s="84">
        <f>HAEH224!J10</f>
        <v>786.9</v>
      </c>
      <c r="U40" s="84">
        <f>'[1]April-18'!U9</f>
        <v>1</v>
      </c>
      <c r="V40" s="84">
        <f t="shared" si="8"/>
        <v>218.89999999999998</v>
      </c>
      <c r="W40" s="84"/>
      <c r="X40" s="84"/>
      <c r="Y40" s="85">
        <f t="shared" si="87"/>
        <v>3.2244444444444422</v>
      </c>
      <c r="Z40" s="86"/>
      <c r="AA40" s="82" t="str">
        <f>HAEH224!B10</f>
        <v>01.10.2019</v>
      </c>
      <c r="AC40" s="40">
        <f>R40+R73+R105+R138+R171+R204+R239+R272+R305+R338+R372+R405+R438+R471+R537+R570+R604</f>
        <v>3126.2999999999993</v>
      </c>
    </row>
    <row r="41" spans="1:29" s="40" customFormat="1" ht="39.950000000000003" hidden="1" customHeight="1" x14ac:dyDescent="0.25">
      <c r="A41" s="49">
        <v>4</v>
      </c>
      <c r="B41" s="50" t="s">
        <v>43</v>
      </c>
      <c r="C41" s="56" t="str">
        <f>C39</f>
        <v>HDKOTE/1714</v>
      </c>
      <c r="D41" s="51" t="s">
        <v>133</v>
      </c>
      <c r="E41" s="55" t="str">
        <f>E39</f>
        <v>HAEH224</v>
      </c>
      <c r="F41" s="50">
        <f>F39</f>
        <v>3</v>
      </c>
      <c r="G41" s="49" t="s">
        <v>221</v>
      </c>
      <c r="H41" s="64" t="s">
        <v>222</v>
      </c>
      <c r="I41" s="49">
        <f>I39</f>
        <v>3</v>
      </c>
      <c r="J41" s="49" t="str">
        <f>J39</f>
        <v>LT 3</v>
      </c>
      <c r="K41" s="84">
        <f>HAEH224!Q11</f>
        <v>2393.1999999999998</v>
      </c>
      <c r="L41" s="84">
        <f>HAEH224!P11</f>
        <v>2417</v>
      </c>
      <c r="M41" s="84">
        <f>'[1]April-18'!M10</f>
        <v>1</v>
      </c>
      <c r="N41" s="84">
        <f t="shared" si="0"/>
        <v>23.800000000000182</v>
      </c>
      <c r="O41" s="84">
        <f>HAEH224!F11</f>
        <v>358.5</v>
      </c>
      <c r="P41" s="84">
        <f>HAEH224!E11</f>
        <v>514.29999999999995</v>
      </c>
      <c r="Q41" s="84">
        <f>Q39</f>
        <v>1</v>
      </c>
      <c r="R41" s="84">
        <f t="shared" si="7"/>
        <v>155.79999999999995</v>
      </c>
      <c r="S41" s="84">
        <f>HAEH224!K11</f>
        <v>786.9</v>
      </c>
      <c r="T41" s="84">
        <f>HAEH224!J11</f>
        <v>786.9</v>
      </c>
      <c r="U41" s="84">
        <f>'[1]April-18'!U10</f>
        <v>1</v>
      </c>
      <c r="V41" s="84">
        <f t="shared" si="8"/>
        <v>0</v>
      </c>
      <c r="W41" s="84"/>
      <c r="X41" s="84"/>
      <c r="Y41" s="85">
        <f t="shared" si="87"/>
        <v>0.26444444444444648</v>
      </c>
      <c r="Z41" s="86"/>
      <c r="AA41" s="82" t="str">
        <f>HAEH224!B11</f>
        <v>01.11.2019</v>
      </c>
      <c r="AC41" s="40">
        <f>R41+R74+R106+R139+R172+R205+R240+R273+R306+R339+R373+R406+R439+R472+R538+R571+R605+R638+R9</f>
        <v>4760.2000000000016</v>
      </c>
    </row>
    <row r="42" spans="1:29" s="40" customFormat="1" ht="39.950000000000003" hidden="1" customHeight="1" x14ac:dyDescent="0.25">
      <c r="A42" s="49">
        <v>5</v>
      </c>
      <c r="B42" s="50" t="s">
        <v>43</v>
      </c>
      <c r="C42" s="56" t="str">
        <f t="shared" ref="C42:C68" si="88">C40</f>
        <v>HDKOTE/1714</v>
      </c>
      <c r="D42" s="51" t="s">
        <v>133</v>
      </c>
      <c r="E42" s="55" t="str">
        <f t="shared" ref="E42:F44" si="89">E40</f>
        <v>HAEH224</v>
      </c>
      <c r="F42" s="50">
        <f t="shared" si="89"/>
        <v>3</v>
      </c>
      <c r="G42" s="49" t="s">
        <v>221</v>
      </c>
      <c r="H42" s="64" t="s">
        <v>222</v>
      </c>
      <c r="I42" s="49">
        <f t="shared" ref="I42:J44" si="90">I40</f>
        <v>3</v>
      </c>
      <c r="J42" s="49" t="str">
        <f t="shared" si="90"/>
        <v>LT 3</v>
      </c>
      <c r="K42" s="84">
        <f>HAEH224!Q12</f>
        <v>2417</v>
      </c>
      <c r="L42" s="84">
        <f>HAEH224!P12</f>
        <v>2440</v>
      </c>
      <c r="M42" s="84">
        <f>'[1]April-18'!M11</f>
        <v>1</v>
      </c>
      <c r="N42" s="84">
        <f t="shared" si="0"/>
        <v>23</v>
      </c>
      <c r="O42" s="84">
        <f>HAEH224!F12</f>
        <v>514.29999999999995</v>
      </c>
      <c r="P42" s="84">
        <f>HAEH224!E12</f>
        <v>650.79999999999995</v>
      </c>
      <c r="Q42" s="84">
        <f t="shared" ref="Q42:Q68" si="91">Q40</f>
        <v>1</v>
      </c>
      <c r="R42" s="84">
        <f t="shared" si="7"/>
        <v>136.5</v>
      </c>
      <c r="S42" s="84">
        <f>HAEH224!K12</f>
        <v>786.9</v>
      </c>
      <c r="T42" s="84">
        <f>HAEH224!J12</f>
        <v>786.9</v>
      </c>
      <c r="U42" s="84">
        <f>'[1]April-18'!U11</f>
        <v>1</v>
      </c>
      <c r="V42" s="84">
        <f t="shared" si="8"/>
        <v>0</v>
      </c>
      <c r="W42" s="84"/>
      <c r="X42" s="84"/>
      <c r="Y42" s="85">
        <f t="shared" si="87"/>
        <v>0.25555555555555559</v>
      </c>
      <c r="Z42" s="86" t="s">
        <v>250</v>
      </c>
      <c r="AA42" s="82" t="str">
        <f>HAEH224!B12</f>
        <v>01.12.2019</v>
      </c>
    </row>
    <row r="43" spans="1:29" s="40" customFormat="1" ht="39.950000000000003" hidden="1" customHeight="1" x14ac:dyDescent="0.25">
      <c r="A43" s="49">
        <v>6</v>
      </c>
      <c r="B43" s="50" t="s">
        <v>43</v>
      </c>
      <c r="C43" s="56" t="str">
        <f t="shared" si="88"/>
        <v>HDKOTE/1714</v>
      </c>
      <c r="D43" s="51" t="s">
        <v>133</v>
      </c>
      <c r="E43" s="55" t="str">
        <f t="shared" si="89"/>
        <v>HAEH224</v>
      </c>
      <c r="F43" s="50">
        <f t="shared" si="89"/>
        <v>3</v>
      </c>
      <c r="G43" s="49" t="s">
        <v>221</v>
      </c>
      <c r="H43" s="64" t="s">
        <v>222</v>
      </c>
      <c r="I43" s="49">
        <f t="shared" si="90"/>
        <v>3</v>
      </c>
      <c r="J43" s="49" t="str">
        <f t="shared" si="90"/>
        <v>LT 3</v>
      </c>
      <c r="K43" s="84">
        <f>HAEH224!Q13</f>
        <v>2440</v>
      </c>
      <c r="L43" s="84">
        <f>HAEH224!P13</f>
        <v>2623.8</v>
      </c>
      <c r="M43" s="84">
        <f>'[1]April-18'!M12</f>
        <v>1</v>
      </c>
      <c r="N43" s="84">
        <f t="shared" si="0"/>
        <v>183.80000000000018</v>
      </c>
      <c r="O43" s="84">
        <f>HAEH224!F13</f>
        <v>650.79999999999995</v>
      </c>
      <c r="P43" s="84">
        <f>HAEH224!E13</f>
        <v>748.4</v>
      </c>
      <c r="Q43" s="84">
        <f t="shared" si="91"/>
        <v>1</v>
      </c>
      <c r="R43" s="84">
        <f t="shared" si="7"/>
        <v>97.600000000000023</v>
      </c>
      <c r="S43" s="84">
        <f>HAEH224!K13</f>
        <v>786.9</v>
      </c>
      <c r="T43" s="84">
        <f>HAEH224!J13</f>
        <v>932.4</v>
      </c>
      <c r="U43" s="84">
        <f>'[1]April-18'!U12</f>
        <v>1</v>
      </c>
      <c r="V43" s="84">
        <f t="shared" si="8"/>
        <v>145.5</v>
      </c>
      <c r="W43" s="84"/>
      <c r="X43" s="84"/>
      <c r="Y43" s="85">
        <f t="shared" si="87"/>
        <v>2.0422222222222244</v>
      </c>
      <c r="Z43" s="86"/>
      <c r="AA43" s="82" t="str">
        <f>HAEH224!B13</f>
        <v>01.01.2020</v>
      </c>
    </row>
    <row r="44" spans="1:29" s="40" customFormat="1" ht="39.950000000000003" hidden="1" customHeight="1" x14ac:dyDescent="0.25">
      <c r="A44" s="49">
        <v>7</v>
      </c>
      <c r="B44" s="50" t="s">
        <v>43</v>
      </c>
      <c r="C44" s="56" t="str">
        <f t="shared" si="88"/>
        <v>HDKOTE/1714</v>
      </c>
      <c r="D44" s="51" t="s">
        <v>133</v>
      </c>
      <c r="E44" s="55" t="str">
        <f t="shared" si="89"/>
        <v>HAEH224</v>
      </c>
      <c r="F44" s="50">
        <f t="shared" si="89"/>
        <v>3</v>
      </c>
      <c r="G44" s="49" t="s">
        <v>221</v>
      </c>
      <c r="H44" s="64" t="s">
        <v>222</v>
      </c>
      <c r="I44" s="49">
        <f t="shared" si="90"/>
        <v>3</v>
      </c>
      <c r="J44" s="49" t="str">
        <f t="shared" si="90"/>
        <v>LT 3</v>
      </c>
      <c r="K44" s="84">
        <f>HAEH224!Q14</f>
        <v>2623.8</v>
      </c>
      <c r="L44" s="84">
        <f>HAEH224!P14</f>
        <v>2971.3</v>
      </c>
      <c r="M44" s="84">
        <f>'[1]April-18'!M13</f>
        <v>1</v>
      </c>
      <c r="N44" s="84">
        <f t="shared" si="0"/>
        <v>347.5</v>
      </c>
      <c r="O44" s="84">
        <f>HAEH224!F14</f>
        <v>748.4</v>
      </c>
      <c r="P44" s="84">
        <f>HAEH224!E14</f>
        <v>811.7</v>
      </c>
      <c r="Q44" s="84">
        <f t="shared" si="91"/>
        <v>1</v>
      </c>
      <c r="R44" s="84">
        <f t="shared" si="7"/>
        <v>63.300000000000068</v>
      </c>
      <c r="S44" s="84">
        <f>HAEH224!K14</f>
        <v>932.4</v>
      </c>
      <c r="T44" s="84">
        <f>HAEH224!J14</f>
        <v>1227.5999999999999</v>
      </c>
      <c r="U44" s="84">
        <f>'[1]April-18'!U13</f>
        <v>1</v>
      </c>
      <c r="V44" s="84">
        <f t="shared" si="8"/>
        <v>295.19999999999993</v>
      </c>
      <c r="W44" s="84"/>
      <c r="X44" s="84"/>
      <c r="Y44" s="85">
        <f t="shared" si="87"/>
        <v>3.8611111111111112</v>
      </c>
      <c r="Z44" s="86"/>
      <c r="AA44" s="82" t="s">
        <v>253</v>
      </c>
    </row>
    <row r="45" spans="1:29" s="40" customFormat="1" ht="39.950000000000003" hidden="1" customHeight="1" x14ac:dyDescent="0.25">
      <c r="A45" s="49">
        <v>8</v>
      </c>
      <c r="B45" s="50" t="s">
        <v>43</v>
      </c>
      <c r="C45" s="56" t="str">
        <f t="shared" si="88"/>
        <v>HDKOTE/1714</v>
      </c>
      <c r="D45" s="51" t="s">
        <v>133</v>
      </c>
      <c r="E45" s="55" t="str">
        <f t="shared" ref="E45:F45" si="92">E43</f>
        <v>HAEH224</v>
      </c>
      <c r="F45" s="50">
        <f t="shared" si="92"/>
        <v>3</v>
      </c>
      <c r="G45" s="49" t="s">
        <v>221</v>
      </c>
      <c r="H45" s="64" t="s">
        <v>222</v>
      </c>
      <c r="I45" s="49">
        <f t="shared" ref="I45:J45" si="93">I43</f>
        <v>3</v>
      </c>
      <c r="J45" s="49" t="str">
        <f t="shared" si="93"/>
        <v>LT 3</v>
      </c>
      <c r="K45" s="84">
        <f>HAEH224!Q15</f>
        <v>2971.3</v>
      </c>
      <c r="L45" s="84">
        <f>HAEH224!P15</f>
        <v>3306.1</v>
      </c>
      <c r="M45" s="84">
        <f>'[1]April-18'!M14</f>
        <v>1</v>
      </c>
      <c r="N45" s="84">
        <f t="shared" ref="N45:N49" si="94">(L45-K45)*M45</f>
        <v>334.79999999999973</v>
      </c>
      <c r="O45" s="84">
        <f>HAEH224!F15</f>
        <v>811.7</v>
      </c>
      <c r="P45" s="84">
        <f>HAEH224!E15</f>
        <v>870</v>
      </c>
      <c r="Q45" s="84">
        <f t="shared" si="91"/>
        <v>1</v>
      </c>
      <c r="R45" s="84">
        <f t="shared" ref="R45:R49" si="95">(P45-O45)*Q45</f>
        <v>58.299999999999955</v>
      </c>
      <c r="S45" s="84">
        <f>HAEH224!K15</f>
        <v>1227.5999999999999</v>
      </c>
      <c r="T45" s="84">
        <f>HAEH224!J15</f>
        <v>1483.3</v>
      </c>
      <c r="U45" s="84">
        <f>'[1]April-18'!U14</f>
        <v>1</v>
      </c>
      <c r="V45" s="84">
        <f t="shared" ref="V45:V49" si="96">(T45-S45)*U45</f>
        <v>255.70000000000005</v>
      </c>
      <c r="W45" s="84"/>
      <c r="X45" s="84"/>
      <c r="Y45" s="85">
        <f t="shared" ref="Y45:Y49" si="97">N45/30/I45</f>
        <v>3.7199999999999971</v>
      </c>
      <c r="Z45" s="86"/>
      <c r="AA45" s="82" t="s">
        <v>254</v>
      </c>
    </row>
    <row r="46" spans="1:29" s="40" customFormat="1" ht="39.950000000000003" hidden="1" customHeight="1" x14ac:dyDescent="0.25">
      <c r="A46" s="49">
        <v>9</v>
      </c>
      <c r="B46" s="50" t="s">
        <v>43</v>
      </c>
      <c r="C46" s="56" t="str">
        <f t="shared" si="88"/>
        <v>HDKOTE/1714</v>
      </c>
      <c r="D46" s="51" t="s">
        <v>133</v>
      </c>
      <c r="E46" s="55" t="str">
        <f t="shared" ref="E46:F46" si="98">E44</f>
        <v>HAEH224</v>
      </c>
      <c r="F46" s="50">
        <f t="shared" si="98"/>
        <v>3</v>
      </c>
      <c r="G46" s="49" t="s">
        <v>221</v>
      </c>
      <c r="H46" s="64" t="s">
        <v>222</v>
      </c>
      <c r="I46" s="49">
        <f t="shared" ref="I46:J46" si="99">I44</f>
        <v>3</v>
      </c>
      <c r="J46" s="49" t="str">
        <f t="shared" si="99"/>
        <v>LT 3</v>
      </c>
      <c r="K46" s="84">
        <f>HAEH224!Q16</f>
        <v>3306.1</v>
      </c>
      <c r="L46" s="84">
        <f>HAEH224!P16</f>
        <v>3721.1</v>
      </c>
      <c r="M46" s="84">
        <f>'[1]April-18'!M15</f>
        <v>1</v>
      </c>
      <c r="N46" s="84">
        <f t="shared" si="94"/>
        <v>415</v>
      </c>
      <c r="O46" s="84">
        <f>HAEH224!F16</f>
        <v>870</v>
      </c>
      <c r="P46" s="84">
        <f>HAEH224!E16</f>
        <v>910</v>
      </c>
      <c r="Q46" s="84">
        <f t="shared" si="91"/>
        <v>1</v>
      </c>
      <c r="R46" s="84">
        <f t="shared" si="95"/>
        <v>40</v>
      </c>
      <c r="S46" s="84">
        <f>HAEH224!K16</f>
        <v>1483.3</v>
      </c>
      <c r="T46" s="84">
        <f>HAEH224!J16</f>
        <v>1851.3</v>
      </c>
      <c r="U46" s="84">
        <f>'[1]April-18'!U15</f>
        <v>1</v>
      </c>
      <c r="V46" s="84">
        <f t="shared" si="96"/>
        <v>368</v>
      </c>
      <c r="W46" s="84"/>
      <c r="X46" s="84"/>
      <c r="Y46" s="85">
        <f t="shared" si="97"/>
        <v>4.6111111111111116</v>
      </c>
      <c r="Z46" s="86"/>
      <c r="AA46" s="82" t="s">
        <v>258</v>
      </c>
    </row>
    <row r="47" spans="1:29" s="40" customFormat="1" ht="39.950000000000003" hidden="1" customHeight="1" x14ac:dyDescent="0.25">
      <c r="A47" s="49">
        <v>10</v>
      </c>
      <c r="B47" s="50" t="s">
        <v>43</v>
      </c>
      <c r="C47" s="56" t="str">
        <f t="shared" si="88"/>
        <v>HDKOTE/1714</v>
      </c>
      <c r="D47" s="51" t="s">
        <v>133</v>
      </c>
      <c r="E47" s="55" t="str">
        <f t="shared" ref="E47:F47" si="100">E45</f>
        <v>HAEH224</v>
      </c>
      <c r="F47" s="50">
        <f t="shared" si="100"/>
        <v>3</v>
      </c>
      <c r="G47" s="49" t="s">
        <v>221</v>
      </c>
      <c r="H47" s="64" t="s">
        <v>222</v>
      </c>
      <c r="I47" s="49">
        <f t="shared" ref="I47:J47" si="101">I45</f>
        <v>3</v>
      </c>
      <c r="J47" s="49" t="str">
        <f t="shared" si="101"/>
        <v>LT 3</v>
      </c>
      <c r="K47" s="84">
        <f>HAEH224!Q17</f>
        <v>0</v>
      </c>
      <c r="L47" s="84">
        <f>HAEH224!P17</f>
        <v>0</v>
      </c>
      <c r="M47" s="84">
        <f>'[1]April-18'!M16</f>
        <v>1</v>
      </c>
      <c r="N47" s="84">
        <f t="shared" si="94"/>
        <v>0</v>
      </c>
      <c r="O47" s="84">
        <f>HAEH224!F17</f>
        <v>0</v>
      </c>
      <c r="P47" s="84">
        <f>HAEH224!E17</f>
        <v>0</v>
      </c>
      <c r="Q47" s="84">
        <f t="shared" si="91"/>
        <v>1</v>
      </c>
      <c r="R47" s="84">
        <f t="shared" si="95"/>
        <v>0</v>
      </c>
      <c r="S47" s="84">
        <f>HAEH224!K17</f>
        <v>0</v>
      </c>
      <c r="T47" s="84">
        <f>HAEH224!J17</f>
        <v>0</v>
      </c>
      <c r="U47" s="84">
        <f>'[1]April-18'!U16</f>
        <v>1</v>
      </c>
      <c r="V47" s="84">
        <f t="shared" si="96"/>
        <v>0</v>
      </c>
      <c r="W47" s="84"/>
      <c r="X47" s="84"/>
      <c r="Y47" s="85">
        <f t="shared" si="97"/>
        <v>0</v>
      </c>
      <c r="Z47" s="86"/>
      <c r="AA47" s="82"/>
    </row>
    <row r="48" spans="1:29" s="40" customFormat="1" ht="39.950000000000003" hidden="1" customHeight="1" x14ac:dyDescent="0.25">
      <c r="A48" s="49">
        <v>11</v>
      </c>
      <c r="B48" s="50" t="s">
        <v>43</v>
      </c>
      <c r="C48" s="56" t="str">
        <f t="shared" si="88"/>
        <v>HDKOTE/1714</v>
      </c>
      <c r="D48" s="51" t="s">
        <v>133</v>
      </c>
      <c r="E48" s="55" t="str">
        <f t="shared" ref="E48:F50" si="102">E46</f>
        <v>HAEH224</v>
      </c>
      <c r="F48" s="50">
        <f t="shared" si="102"/>
        <v>3</v>
      </c>
      <c r="G48" s="49" t="s">
        <v>221</v>
      </c>
      <c r="H48" s="64" t="s">
        <v>222</v>
      </c>
      <c r="I48" s="49">
        <f t="shared" ref="I48:J50" si="103">I46</f>
        <v>3</v>
      </c>
      <c r="J48" s="49" t="str">
        <f t="shared" si="103"/>
        <v>LT 3</v>
      </c>
      <c r="K48" s="84">
        <f>HAEH224!Q18</f>
        <v>3721.1</v>
      </c>
      <c r="L48" s="84">
        <f>HAEH224!P18</f>
        <v>4137.5</v>
      </c>
      <c r="M48" s="84">
        <f>'[1]April-18'!M17</f>
        <v>1</v>
      </c>
      <c r="N48" s="84">
        <f t="shared" si="94"/>
        <v>416.40000000000009</v>
      </c>
      <c r="O48" s="84">
        <f>HAEH224!F18</f>
        <v>910</v>
      </c>
      <c r="P48" s="84">
        <f>HAEH224!E18</f>
        <v>965.2</v>
      </c>
      <c r="Q48" s="84">
        <f t="shared" si="91"/>
        <v>1</v>
      </c>
      <c r="R48" s="84">
        <f t="shared" si="95"/>
        <v>55.200000000000045</v>
      </c>
      <c r="S48" s="84">
        <f>HAEH224!K18</f>
        <v>1851.3</v>
      </c>
      <c r="T48" s="84">
        <f>HAEH224!J18</f>
        <v>2219.1</v>
      </c>
      <c r="U48" s="84">
        <f>'[1]April-18'!U17</f>
        <v>1</v>
      </c>
      <c r="V48" s="84">
        <f t="shared" si="96"/>
        <v>367.79999999999995</v>
      </c>
      <c r="W48" s="84"/>
      <c r="X48" s="84"/>
      <c r="Y48" s="85">
        <f t="shared" si="97"/>
        <v>4.6266666666666678</v>
      </c>
      <c r="Z48" s="86"/>
      <c r="AA48" s="82" t="s">
        <v>259</v>
      </c>
    </row>
    <row r="49" spans="1:27" s="40" customFormat="1" ht="39.950000000000003" hidden="1" customHeight="1" x14ac:dyDescent="0.25">
      <c r="A49" s="49">
        <v>12</v>
      </c>
      <c r="B49" s="50" t="s">
        <v>43</v>
      </c>
      <c r="C49" s="56" t="str">
        <f t="shared" si="88"/>
        <v>HDKOTE/1714</v>
      </c>
      <c r="D49" s="51" t="s">
        <v>133</v>
      </c>
      <c r="E49" s="55" t="str">
        <f t="shared" ref="E49:F49" si="104">E47</f>
        <v>HAEH224</v>
      </c>
      <c r="F49" s="50">
        <f t="shared" si="104"/>
        <v>3</v>
      </c>
      <c r="G49" s="49" t="s">
        <v>221</v>
      </c>
      <c r="H49" s="64" t="s">
        <v>222</v>
      </c>
      <c r="I49" s="49">
        <f t="shared" ref="I49:J49" si="105">I47</f>
        <v>3</v>
      </c>
      <c r="J49" s="49" t="str">
        <f t="shared" si="105"/>
        <v>LT 3</v>
      </c>
      <c r="K49" s="84">
        <f>HAEH224!Q19</f>
        <v>4137.5</v>
      </c>
      <c r="L49" s="84">
        <f>HAEH224!P19</f>
        <v>4510.2</v>
      </c>
      <c r="M49" s="84">
        <f>'[1]April-18'!M18</f>
        <v>1</v>
      </c>
      <c r="N49" s="84">
        <f t="shared" si="94"/>
        <v>372.69999999999982</v>
      </c>
      <c r="O49" s="84">
        <f>HAEH224!F19</f>
        <v>965.2</v>
      </c>
      <c r="P49" s="84">
        <f>HAEH224!E19</f>
        <v>1008.1</v>
      </c>
      <c r="Q49" s="84">
        <f t="shared" si="91"/>
        <v>1</v>
      </c>
      <c r="R49" s="84">
        <f t="shared" si="95"/>
        <v>42.899999999999977</v>
      </c>
      <c r="S49" s="84">
        <f>HAEH224!K19</f>
        <v>2219.1</v>
      </c>
      <c r="T49" s="84">
        <f>HAEH224!J19</f>
        <v>2539.1</v>
      </c>
      <c r="U49" s="84">
        <f>'[1]April-18'!U18</f>
        <v>1</v>
      </c>
      <c r="V49" s="84">
        <f t="shared" si="96"/>
        <v>320</v>
      </c>
      <c r="W49" s="84"/>
      <c r="X49" s="84"/>
      <c r="Y49" s="85">
        <f t="shared" si="97"/>
        <v>4.1411111111111092</v>
      </c>
      <c r="Z49" s="86"/>
      <c r="AA49" s="82" t="s">
        <v>263</v>
      </c>
    </row>
    <row r="50" spans="1:27" s="40" customFormat="1" ht="39.950000000000003" hidden="1" customHeight="1" x14ac:dyDescent="0.25">
      <c r="A50" s="49">
        <v>13</v>
      </c>
      <c r="B50" s="50" t="s">
        <v>43</v>
      </c>
      <c r="C50" s="56" t="str">
        <f t="shared" si="88"/>
        <v>HDKOTE/1714</v>
      </c>
      <c r="D50" s="51" t="s">
        <v>133</v>
      </c>
      <c r="E50" s="55" t="str">
        <f t="shared" si="102"/>
        <v>HAEH224</v>
      </c>
      <c r="F50" s="50">
        <f t="shared" si="102"/>
        <v>3</v>
      </c>
      <c r="G50" s="49" t="s">
        <v>221</v>
      </c>
      <c r="H50" s="64" t="s">
        <v>222</v>
      </c>
      <c r="I50" s="49">
        <f t="shared" si="103"/>
        <v>3</v>
      </c>
      <c r="J50" s="49" t="str">
        <f t="shared" si="103"/>
        <v>LT 3</v>
      </c>
      <c r="K50" s="84">
        <f>HAEH224!Q20</f>
        <v>4510.2</v>
      </c>
      <c r="L50" s="84">
        <f>HAEH224!P20</f>
        <v>4778.2</v>
      </c>
      <c r="M50" s="84">
        <f>'[1]April-18'!M19</f>
        <v>1</v>
      </c>
      <c r="N50" s="84">
        <f t="shared" ref="N50" si="106">(L50-K50)*M50</f>
        <v>268</v>
      </c>
      <c r="O50" s="84">
        <f>HAEH224!F20</f>
        <v>1008.1</v>
      </c>
      <c r="P50" s="84">
        <f>HAEH224!E20</f>
        <v>1051.0999999999999</v>
      </c>
      <c r="Q50" s="84">
        <f t="shared" si="91"/>
        <v>1</v>
      </c>
      <c r="R50" s="84">
        <f t="shared" ref="R50" si="107">(P50-O50)*Q50</f>
        <v>42.999999999999886</v>
      </c>
      <c r="S50" s="84">
        <f>HAEH224!K20</f>
        <v>2539.1</v>
      </c>
      <c r="T50" s="84">
        <f>HAEH224!J20</f>
        <v>2781.4</v>
      </c>
      <c r="U50" s="84">
        <f>'[1]April-18'!U19</f>
        <v>1</v>
      </c>
      <c r="V50" s="84">
        <f t="shared" ref="V50" si="108">(T50-S50)*U50</f>
        <v>242.30000000000018</v>
      </c>
      <c r="W50" s="84"/>
      <c r="X50" s="84"/>
      <c r="Y50" s="85">
        <f t="shared" ref="Y50" si="109">N50/30/I50</f>
        <v>2.9777777777777779</v>
      </c>
      <c r="Z50" s="86"/>
      <c r="AA50" s="82" t="s">
        <v>265</v>
      </c>
    </row>
    <row r="51" spans="1:27" s="40" customFormat="1" ht="39.950000000000003" hidden="1" customHeight="1" x14ac:dyDescent="0.25">
      <c r="A51" s="49">
        <v>14</v>
      </c>
      <c r="B51" s="50" t="s">
        <v>43</v>
      </c>
      <c r="C51" s="56" t="str">
        <f t="shared" si="88"/>
        <v>HDKOTE/1714</v>
      </c>
      <c r="D51" s="51" t="s">
        <v>133</v>
      </c>
      <c r="E51" s="55" t="str">
        <f t="shared" ref="E51:F51" si="110">E49</f>
        <v>HAEH224</v>
      </c>
      <c r="F51" s="50">
        <f t="shared" si="110"/>
        <v>3</v>
      </c>
      <c r="G51" s="49" t="s">
        <v>221</v>
      </c>
      <c r="H51" s="64" t="s">
        <v>222</v>
      </c>
      <c r="I51" s="49">
        <f t="shared" ref="I51:J51" si="111">I49</f>
        <v>3</v>
      </c>
      <c r="J51" s="49" t="str">
        <f t="shared" si="111"/>
        <v>LT 3</v>
      </c>
      <c r="K51" s="84">
        <f>HAEH224!Q21</f>
        <v>4778.2</v>
      </c>
      <c r="L51" s="84">
        <f>HAEH224!P21</f>
        <v>5092.3</v>
      </c>
      <c r="M51" s="84">
        <f>'[1]April-18'!M20</f>
        <v>1</v>
      </c>
      <c r="N51" s="84">
        <f t="shared" ref="N51:N53" si="112">(L51-K51)*M51</f>
        <v>314.10000000000036</v>
      </c>
      <c r="O51" s="84">
        <f>HAEH224!F21</f>
        <v>1051.0999999999999</v>
      </c>
      <c r="P51" s="84">
        <f>HAEH224!E21</f>
        <v>1100.2</v>
      </c>
      <c r="Q51" s="84">
        <f t="shared" si="91"/>
        <v>1</v>
      </c>
      <c r="R51" s="84">
        <f t="shared" ref="R51:R53" si="113">(P51-O51)*Q51</f>
        <v>49.100000000000136</v>
      </c>
      <c r="S51" s="84">
        <f>HAEH224!K21</f>
        <v>2781.4</v>
      </c>
      <c r="T51" s="84">
        <f>HAEH224!J21</f>
        <v>3022.3</v>
      </c>
      <c r="U51" s="84">
        <f>'[1]April-18'!U20</f>
        <v>1</v>
      </c>
      <c r="V51" s="84">
        <f t="shared" ref="V51:V53" si="114">(T51-S51)*U51</f>
        <v>240.90000000000009</v>
      </c>
      <c r="W51" s="84"/>
      <c r="X51" s="84"/>
      <c r="Y51" s="85">
        <f t="shared" ref="Y51:Y53" si="115">N51/30/I51</f>
        <v>3.4900000000000038</v>
      </c>
      <c r="Z51" s="86"/>
      <c r="AA51" s="82"/>
    </row>
    <row r="52" spans="1:27" s="40" customFormat="1" ht="39.950000000000003" hidden="1" customHeight="1" x14ac:dyDescent="0.25">
      <c r="A52" s="49">
        <v>15</v>
      </c>
      <c r="B52" s="50" t="s">
        <v>43</v>
      </c>
      <c r="C52" s="56" t="str">
        <f t="shared" si="88"/>
        <v>HDKOTE/1714</v>
      </c>
      <c r="D52" s="51" t="s">
        <v>133</v>
      </c>
      <c r="E52" s="55" t="str">
        <f t="shared" ref="E52:F52" si="116">E50</f>
        <v>HAEH224</v>
      </c>
      <c r="F52" s="50">
        <f t="shared" si="116"/>
        <v>3</v>
      </c>
      <c r="G52" s="49" t="s">
        <v>221</v>
      </c>
      <c r="H52" s="64" t="s">
        <v>222</v>
      </c>
      <c r="I52" s="49">
        <f t="shared" ref="I52:J52" si="117">I50</f>
        <v>3</v>
      </c>
      <c r="J52" s="49" t="str">
        <f t="shared" si="117"/>
        <v>LT 3</v>
      </c>
      <c r="K52" s="84">
        <f>HAEH224!Q22</f>
        <v>5092.3</v>
      </c>
      <c r="L52" s="84">
        <f>HAEH224!P22</f>
        <v>5328.7</v>
      </c>
      <c r="M52" s="84">
        <f>'[1]April-18'!M21</f>
        <v>1</v>
      </c>
      <c r="N52" s="84">
        <f t="shared" si="112"/>
        <v>236.39999999999964</v>
      </c>
      <c r="O52" s="84">
        <f>HAEH224!F22</f>
        <v>1100.2</v>
      </c>
      <c r="P52" s="84">
        <f>HAEH224!E22</f>
        <v>1151.9000000000001</v>
      </c>
      <c r="Q52" s="84">
        <f t="shared" si="91"/>
        <v>1</v>
      </c>
      <c r="R52" s="84">
        <f t="shared" si="113"/>
        <v>51.700000000000045</v>
      </c>
      <c r="S52" s="84">
        <f>HAEH224!K22</f>
        <v>3022.3</v>
      </c>
      <c r="T52" s="84">
        <f>HAEH224!J22</f>
        <v>3238</v>
      </c>
      <c r="U52" s="84">
        <f>'[1]April-18'!U21</f>
        <v>1</v>
      </c>
      <c r="V52" s="84">
        <f t="shared" si="114"/>
        <v>215.69999999999982</v>
      </c>
      <c r="W52" s="84"/>
      <c r="X52" s="84"/>
      <c r="Y52" s="85">
        <f t="shared" si="115"/>
        <v>2.6266666666666625</v>
      </c>
      <c r="Z52" s="86"/>
      <c r="AA52" s="82"/>
    </row>
    <row r="53" spans="1:27" s="40" customFormat="1" ht="39.950000000000003" hidden="1" customHeight="1" x14ac:dyDescent="0.25">
      <c r="A53" s="49">
        <v>16</v>
      </c>
      <c r="B53" s="50" t="s">
        <v>43</v>
      </c>
      <c r="C53" s="56" t="str">
        <f t="shared" si="88"/>
        <v>HDKOTE/1714</v>
      </c>
      <c r="D53" s="51" t="s">
        <v>133</v>
      </c>
      <c r="E53" s="55" t="str">
        <f t="shared" ref="E53:F53" si="118">E51</f>
        <v>HAEH224</v>
      </c>
      <c r="F53" s="50">
        <f t="shared" si="118"/>
        <v>3</v>
      </c>
      <c r="G53" s="49" t="s">
        <v>221</v>
      </c>
      <c r="H53" s="64" t="s">
        <v>222</v>
      </c>
      <c r="I53" s="49">
        <f t="shared" ref="I53:J53" si="119">I51</f>
        <v>3</v>
      </c>
      <c r="J53" s="49" t="str">
        <f t="shared" si="119"/>
        <v>LT 3</v>
      </c>
      <c r="K53" s="84">
        <f>HAEH224!Q23</f>
        <v>5328.7</v>
      </c>
      <c r="L53" s="84">
        <f>HAEH224!P23</f>
        <v>5328.7</v>
      </c>
      <c r="M53" s="84">
        <f>'[1]April-18'!M22</f>
        <v>1</v>
      </c>
      <c r="N53" s="84">
        <f t="shared" si="112"/>
        <v>0</v>
      </c>
      <c r="O53" s="84">
        <f>HAEH224!F23</f>
        <v>1151.9000000000001</v>
      </c>
      <c r="P53" s="84">
        <f>HAEH224!E23</f>
        <v>1246.5</v>
      </c>
      <c r="Q53" s="84">
        <f t="shared" si="91"/>
        <v>1</v>
      </c>
      <c r="R53" s="84">
        <f t="shared" si="113"/>
        <v>94.599999999999909</v>
      </c>
      <c r="S53" s="84">
        <f>HAEH224!K23</f>
        <v>3238</v>
      </c>
      <c r="T53" s="84">
        <f>HAEH224!J23</f>
        <v>3238</v>
      </c>
      <c r="U53" s="84">
        <f>'[1]April-18'!U22</f>
        <v>1</v>
      </c>
      <c r="V53" s="84">
        <f t="shared" si="114"/>
        <v>0</v>
      </c>
      <c r="W53" s="84"/>
      <c r="X53" s="84"/>
      <c r="Y53" s="85">
        <f t="shared" si="115"/>
        <v>0</v>
      </c>
      <c r="Z53" s="86"/>
      <c r="AA53" s="82"/>
    </row>
    <row r="54" spans="1:27" s="40" customFormat="1" ht="39.950000000000003" hidden="1" customHeight="1" x14ac:dyDescent="0.25">
      <c r="A54" s="93">
        <v>17</v>
      </c>
      <c r="B54" s="50" t="s">
        <v>43</v>
      </c>
      <c r="C54" s="56" t="str">
        <f t="shared" si="88"/>
        <v>HDKOTE/1714</v>
      </c>
      <c r="D54" s="51" t="s">
        <v>133</v>
      </c>
      <c r="E54" s="55" t="str">
        <f t="shared" ref="E54:F54" si="120">E52</f>
        <v>HAEH224</v>
      </c>
      <c r="F54" s="50">
        <f t="shared" si="120"/>
        <v>3</v>
      </c>
      <c r="G54" s="49" t="s">
        <v>221</v>
      </c>
      <c r="H54" s="64" t="s">
        <v>222</v>
      </c>
      <c r="I54" s="49">
        <f t="shared" ref="I54:J54" si="121">I52</f>
        <v>3</v>
      </c>
      <c r="J54" s="49" t="str">
        <f t="shared" si="121"/>
        <v>LT 3</v>
      </c>
      <c r="K54" s="84">
        <f>HAEH224!Q24</f>
        <v>5328.7</v>
      </c>
      <c r="L54" s="84">
        <f>HAEH224!P24</f>
        <v>5328.7</v>
      </c>
      <c r="M54" s="84">
        <f>'[1]April-18'!M23</f>
        <v>1</v>
      </c>
      <c r="N54" s="84">
        <f t="shared" ref="N54:N58" si="122">(L54-K54)*M54</f>
        <v>0</v>
      </c>
      <c r="O54" s="84">
        <f>HAEH224!F24</f>
        <v>1246.5</v>
      </c>
      <c r="P54" s="84">
        <f>HAEH224!E24</f>
        <v>1366.2</v>
      </c>
      <c r="Q54" s="84">
        <f t="shared" si="91"/>
        <v>1</v>
      </c>
      <c r="R54" s="84">
        <f t="shared" ref="R54:R58" si="123">(P54-O54)*Q54</f>
        <v>119.70000000000005</v>
      </c>
      <c r="S54" s="84">
        <f>HAEH224!K24</f>
        <v>3238</v>
      </c>
      <c r="T54" s="84">
        <f>HAEH224!J24</f>
        <v>3238</v>
      </c>
      <c r="U54" s="84">
        <f>'[1]April-18'!U23</f>
        <v>1</v>
      </c>
      <c r="V54" s="84">
        <f t="shared" ref="V54:V58" si="124">(T54-S54)*U54</f>
        <v>0</v>
      </c>
      <c r="W54" s="84"/>
      <c r="X54" s="84"/>
      <c r="Y54" s="85">
        <f t="shared" ref="Y54:Y58" si="125">N54/30/I54</f>
        <v>0</v>
      </c>
      <c r="Z54" s="86"/>
      <c r="AA54" s="82"/>
    </row>
    <row r="55" spans="1:27" s="40" customFormat="1" ht="39.950000000000003" hidden="1" customHeight="1" x14ac:dyDescent="0.25">
      <c r="A55" s="94">
        <v>18</v>
      </c>
      <c r="B55" s="50" t="s">
        <v>43</v>
      </c>
      <c r="C55" s="56" t="str">
        <f t="shared" si="88"/>
        <v>HDKOTE/1714</v>
      </c>
      <c r="D55" s="51" t="s">
        <v>133</v>
      </c>
      <c r="E55" s="55" t="str">
        <f t="shared" ref="E55:F55" si="126">E53</f>
        <v>HAEH224</v>
      </c>
      <c r="F55" s="50">
        <f t="shared" si="126"/>
        <v>3</v>
      </c>
      <c r="G55" s="49" t="s">
        <v>221</v>
      </c>
      <c r="H55" s="64" t="s">
        <v>222</v>
      </c>
      <c r="I55" s="49">
        <f t="shared" ref="I55:J55" si="127">I53</f>
        <v>3</v>
      </c>
      <c r="J55" s="49" t="str">
        <f t="shared" si="127"/>
        <v>LT 3</v>
      </c>
      <c r="K55" s="84">
        <f>HAEH224!Q25</f>
        <v>5328.7</v>
      </c>
      <c r="L55" s="84">
        <f>HAEH224!P25</f>
        <v>5391.9</v>
      </c>
      <c r="M55" s="84">
        <f>'[1]April-18'!M24</f>
        <v>1</v>
      </c>
      <c r="N55" s="84">
        <f t="shared" si="122"/>
        <v>63.199999999999818</v>
      </c>
      <c r="O55" s="84">
        <f>HAEH224!F25</f>
        <v>1366.2</v>
      </c>
      <c r="P55" s="84">
        <f>HAEH224!E25</f>
        <v>1474.9</v>
      </c>
      <c r="Q55" s="84">
        <f t="shared" si="91"/>
        <v>1</v>
      </c>
      <c r="R55" s="84">
        <f t="shared" si="123"/>
        <v>108.70000000000005</v>
      </c>
      <c r="S55" s="84">
        <f>HAEH224!K25</f>
        <v>3238</v>
      </c>
      <c r="T55" s="84">
        <f>HAEH224!J25</f>
        <v>3277.6</v>
      </c>
      <c r="U55" s="84">
        <f>'[1]April-18'!U24</f>
        <v>1</v>
      </c>
      <c r="V55" s="84">
        <f t="shared" si="124"/>
        <v>39.599999999999909</v>
      </c>
      <c r="W55" s="84"/>
      <c r="X55" s="84"/>
      <c r="Y55" s="85">
        <f t="shared" si="125"/>
        <v>0.70222222222222019</v>
      </c>
      <c r="Z55" s="86"/>
      <c r="AA55" s="82"/>
    </row>
    <row r="56" spans="1:27" s="40" customFormat="1" ht="39.950000000000003" hidden="1" customHeight="1" x14ac:dyDescent="0.25">
      <c r="A56" s="95">
        <v>19</v>
      </c>
      <c r="B56" s="50" t="s">
        <v>43</v>
      </c>
      <c r="C56" s="56" t="str">
        <f t="shared" si="88"/>
        <v>HDKOTE/1714</v>
      </c>
      <c r="D56" s="51" t="s">
        <v>133</v>
      </c>
      <c r="E56" s="55" t="str">
        <f t="shared" ref="E56:F56" si="128">E54</f>
        <v>HAEH224</v>
      </c>
      <c r="F56" s="50">
        <f t="shared" si="128"/>
        <v>3</v>
      </c>
      <c r="G56" s="49" t="s">
        <v>221</v>
      </c>
      <c r="H56" s="64" t="s">
        <v>222</v>
      </c>
      <c r="I56" s="49">
        <f t="shared" ref="I56:J56" si="129">I54</f>
        <v>3</v>
      </c>
      <c r="J56" s="49" t="str">
        <f t="shared" si="129"/>
        <v>LT 3</v>
      </c>
      <c r="K56" s="84">
        <f>HAEH224!Q26</f>
        <v>5391.9</v>
      </c>
      <c r="L56" s="84">
        <f>HAEH224!P26</f>
        <v>5703.9</v>
      </c>
      <c r="M56" s="84">
        <f>'[1]April-18'!M25</f>
        <v>1</v>
      </c>
      <c r="N56" s="84">
        <f t="shared" si="122"/>
        <v>312</v>
      </c>
      <c r="O56" s="84">
        <f>HAEH224!F26</f>
        <v>1474.9</v>
      </c>
      <c r="P56" s="84">
        <f>HAEH224!E26</f>
        <v>1539.7</v>
      </c>
      <c r="Q56" s="84">
        <f t="shared" si="91"/>
        <v>1</v>
      </c>
      <c r="R56" s="84">
        <f t="shared" si="123"/>
        <v>64.799999999999955</v>
      </c>
      <c r="S56" s="84">
        <f>HAEH224!K26</f>
        <v>3277.6</v>
      </c>
      <c r="T56" s="84">
        <f>HAEH224!J26</f>
        <v>3540.3</v>
      </c>
      <c r="U56" s="84">
        <f>'[1]April-18'!U25</f>
        <v>1</v>
      </c>
      <c r="V56" s="84">
        <f t="shared" si="124"/>
        <v>262.70000000000027</v>
      </c>
      <c r="W56" s="84"/>
      <c r="X56" s="84"/>
      <c r="Y56" s="85">
        <f t="shared" si="125"/>
        <v>3.4666666666666668</v>
      </c>
      <c r="Z56" s="86"/>
      <c r="AA56" s="82"/>
    </row>
    <row r="57" spans="1:27" s="40" customFormat="1" ht="39.950000000000003" hidden="1" customHeight="1" x14ac:dyDescent="0.25">
      <c r="A57" s="49">
        <v>20</v>
      </c>
      <c r="B57" s="50" t="s">
        <v>43</v>
      </c>
      <c r="C57" s="56" t="str">
        <f t="shared" si="88"/>
        <v>HDKOTE/1714</v>
      </c>
      <c r="D57" s="51" t="s">
        <v>133</v>
      </c>
      <c r="E57" s="55" t="str">
        <f t="shared" ref="E57:F61" si="130">E55</f>
        <v>HAEH224</v>
      </c>
      <c r="F57" s="50">
        <f t="shared" si="130"/>
        <v>3</v>
      </c>
      <c r="G57" s="49" t="s">
        <v>221</v>
      </c>
      <c r="H57" s="64" t="s">
        <v>222</v>
      </c>
      <c r="I57" s="49">
        <f t="shared" ref="I57:J61" si="131">I55</f>
        <v>3</v>
      </c>
      <c r="J57" s="49" t="str">
        <f t="shared" si="131"/>
        <v>LT 3</v>
      </c>
      <c r="K57" s="84">
        <f>HAEH224!Q27</f>
        <v>5703.9</v>
      </c>
      <c r="L57" s="84">
        <f>HAEH224!P27</f>
        <v>6033.5</v>
      </c>
      <c r="M57" s="84">
        <f>M56</f>
        <v>1</v>
      </c>
      <c r="N57" s="84">
        <f t="shared" si="122"/>
        <v>329.60000000000036</v>
      </c>
      <c r="O57" s="84">
        <f>HAEH224!F27</f>
        <v>1539.7</v>
      </c>
      <c r="P57" s="84">
        <f>HAEH224!E27</f>
        <v>1600.6</v>
      </c>
      <c r="Q57" s="84">
        <f t="shared" si="91"/>
        <v>1</v>
      </c>
      <c r="R57" s="84">
        <f t="shared" si="123"/>
        <v>60.899999999999864</v>
      </c>
      <c r="S57" s="84">
        <f>HAEH224!K27</f>
        <v>3540.3</v>
      </c>
      <c r="T57" s="84">
        <f>HAEH224!J27</f>
        <v>3809.3</v>
      </c>
      <c r="U57" s="84">
        <f>U56</f>
        <v>1</v>
      </c>
      <c r="V57" s="84">
        <f t="shared" si="124"/>
        <v>269</v>
      </c>
      <c r="W57" s="84"/>
      <c r="X57" s="84"/>
      <c r="Y57" s="85">
        <f t="shared" si="125"/>
        <v>3.6622222222222263</v>
      </c>
      <c r="Z57" s="86"/>
      <c r="AA57" s="82"/>
    </row>
    <row r="58" spans="1:27" s="40" customFormat="1" ht="39.950000000000003" hidden="1" customHeight="1" x14ac:dyDescent="0.25">
      <c r="A58" s="49">
        <v>21</v>
      </c>
      <c r="B58" s="50" t="s">
        <v>43</v>
      </c>
      <c r="C58" s="56" t="str">
        <f t="shared" si="88"/>
        <v>HDKOTE/1714</v>
      </c>
      <c r="D58" s="51" t="s">
        <v>133</v>
      </c>
      <c r="E58" s="55" t="str">
        <f t="shared" ref="E58:F60" si="132">E56</f>
        <v>HAEH224</v>
      </c>
      <c r="F58" s="50">
        <f t="shared" si="132"/>
        <v>3</v>
      </c>
      <c r="G58" s="49" t="s">
        <v>221</v>
      </c>
      <c r="H58" s="64" t="s">
        <v>222</v>
      </c>
      <c r="I58" s="49">
        <f t="shared" ref="I58:J60" si="133">I56</f>
        <v>3</v>
      </c>
      <c r="J58" s="49" t="str">
        <f t="shared" si="133"/>
        <v>LT 3</v>
      </c>
      <c r="K58" s="84">
        <f>HAEH224!Q28</f>
        <v>6033.5</v>
      </c>
      <c r="L58" s="84">
        <f>HAEH224!P28</f>
        <v>6368.5</v>
      </c>
      <c r="M58" s="84">
        <f>M57</f>
        <v>1</v>
      </c>
      <c r="N58" s="84">
        <f t="shared" si="122"/>
        <v>335</v>
      </c>
      <c r="O58" s="84">
        <f>HAEH224!F28</f>
        <v>1600.6</v>
      </c>
      <c r="P58" s="84">
        <f>HAEH224!E28</f>
        <v>1649.6</v>
      </c>
      <c r="Q58" s="84">
        <f t="shared" si="91"/>
        <v>1</v>
      </c>
      <c r="R58" s="84">
        <f t="shared" si="123"/>
        <v>49</v>
      </c>
      <c r="S58" s="84">
        <f>HAEH224!K28</f>
        <v>3809.3</v>
      </c>
      <c r="T58" s="84">
        <f>HAEH224!J28</f>
        <v>4108.5</v>
      </c>
      <c r="U58" s="84">
        <f>U57</f>
        <v>1</v>
      </c>
      <c r="V58" s="84">
        <f t="shared" si="124"/>
        <v>299.19999999999982</v>
      </c>
      <c r="W58" s="84"/>
      <c r="X58" s="84"/>
      <c r="Y58" s="85">
        <f t="shared" si="125"/>
        <v>3.7222222222222219</v>
      </c>
      <c r="Z58" s="86"/>
      <c r="AA58" s="82"/>
    </row>
    <row r="59" spans="1:27" s="40" customFormat="1" ht="39.950000000000003" hidden="1" customHeight="1" x14ac:dyDescent="0.25">
      <c r="A59" s="49">
        <v>22</v>
      </c>
      <c r="B59" s="50" t="s">
        <v>43</v>
      </c>
      <c r="C59" s="56" t="str">
        <f t="shared" si="88"/>
        <v>HDKOTE/1714</v>
      </c>
      <c r="D59" s="51" t="s">
        <v>133</v>
      </c>
      <c r="E59" s="55" t="str">
        <f t="shared" si="130"/>
        <v>HAEH224</v>
      </c>
      <c r="F59" s="50">
        <f t="shared" si="130"/>
        <v>3</v>
      </c>
      <c r="G59" s="49" t="s">
        <v>221</v>
      </c>
      <c r="H59" s="64" t="s">
        <v>222</v>
      </c>
      <c r="I59" s="49">
        <f t="shared" si="131"/>
        <v>3</v>
      </c>
      <c r="J59" s="49" t="str">
        <f t="shared" si="131"/>
        <v>LT 3</v>
      </c>
      <c r="K59" s="84">
        <f>HAEH224!Q29</f>
        <v>6368.5</v>
      </c>
      <c r="L59" s="84">
        <f>HAEH224!P29</f>
        <v>6751.7</v>
      </c>
      <c r="M59" s="84">
        <f>M58</f>
        <v>1</v>
      </c>
      <c r="N59" s="84">
        <f t="shared" ref="N59:N60" si="134">(L59-K59)*M59</f>
        <v>383.19999999999982</v>
      </c>
      <c r="O59" s="84">
        <f>HAEH224!F29</f>
        <v>1649.6</v>
      </c>
      <c r="P59" s="84">
        <f>HAEH224!E29</f>
        <v>1707.2</v>
      </c>
      <c r="Q59" s="84">
        <f t="shared" si="91"/>
        <v>1</v>
      </c>
      <c r="R59" s="84">
        <f t="shared" ref="R59:R60" si="135">(P59-O59)*Q59</f>
        <v>57.600000000000136</v>
      </c>
      <c r="S59" s="84">
        <f>HAEH224!K29</f>
        <v>4108.5</v>
      </c>
      <c r="T59" s="84">
        <f>HAEH224!J29</f>
        <v>4419.3999999999996</v>
      </c>
      <c r="U59" s="84">
        <f>U58</f>
        <v>1</v>
      </c>
      <c r="V59" s="84">
        <f t="shared" ref="V59:V60" si="136">(T59-S59)*U59</f>
        <v>310.89999999999964</v>
      </c>
      <c r="W59" s="84"/>
      <c r="X59" s="84"/>
      <c r="Y59" s="85">
        <f t="shared" ref="Y59:Y60" si="137">N59/30/I59</f>
        <v>4.2577777777777763</v>
      </c>
      <c r="Z59" s="86"/>
      <c r="AA59" s="82"/>
    </row>
    <row r="60" spans="1:27" s="40" customFormat="1" ht="39.950000000000003" hidden="1" customHeight="1" x14ac:dyDescent="0.25">
      <c r="A60" s="49">
        <v>23</v>
      </c>
      <c r="B60" s="50" t="s">
        <v>43</v>
      </c>
      <c r="C60" s="56" t="str">
        <f t="shared" si="88"/>
        <v>HDKOTE/1714</v>
      </c>
      <c r="D60" s="51" t="s">
        <v>133</v>
      </c>
      <c r="E60" s="55" t="str">
        <f t="shared" si="132"/>
        <v>HAEH224</v>
      </c>
      <c r="F60" s="50">
        <f t="shared" si="132"/>
        <v>3</v>
      </c>
      <c r="G60" s="49" t="s">
        <v>221</v>
      </c>
      <c r="H60" s="64" t="s">
        <v>222</v>
      </c>
      <c r="I60" s="49">
        <f t="shared" si="133"/>
        <v>3</v>
      </c>
      <c r="J60" s="49" t="str">
        <f t="shared" si="133"/>
        <v>LT 3</v>
      </c>
      <c r="K60" s="84">
        <f>HAEH224!Q31</f>
        <v>6751.7</v>
      </c>
      <c r="L60" s="84">
        <f>HAEH224!P31</f>
        <v>7111.7</v>
      </c>
      <c r="M60" s="84">
        <f>M59</f>
        <v>1</v>
      </c>
      <c r="N60" s="84">
        <f t="shared" si="134"/>
        <v>360</v>
      </c>
      <c r="O60" s="84">
        <f>HAEH224!F31</f>
        <v>1707.2</v>
      </c>
      <c r="P60" s="84">
        <f>HAEH224!E31</f>
        <v>1761.2</v>
      </c>
      <c r="Q60" s="84">
        <f t="shared" si="91"/>
        <v>1</v>
      </c>
      <c r="R60" s="84">
        <f t="shared" si="135"/>
        <v>54</v>
      </c>
      <c r="S60" s="84">
        <f>HAEH224!K31</f>
        <v>4419.3999999999996</v>
      </c>
      <c r="T60" s="84">
        <f>HAEH224!J31</f>
        <v>4723.3999999999996</v>
      </c>
      <c r="U60" s="84">
        <f>U59</f>
        <v>1</v>
      </c>
      <c r="V60" s="84">
        <f t="shared" si="136"/>
        <v>304</v>
      </c>
      <c r="W60" s="84"/>
      <c r="X60" s="84"/>
      <c r="Y60" s="85">
        <f t="shared" si="137"/>
        <v>4</v>
      </c>
      <c r="Z60" s="86"/>
      <c r="AA60" s="82"/>
    </row>
    <row r="61" spans="1:27" s="40" customFormat="1" ht="39.950000000000003" hidden="1" customHeight="1" x14ac:dyDescent="0.25">
      <c r="A61" s="49">
        <v>24</v>
      </c>
      <c r="B61" s="50" t="s">
        <v>43</v>
      </c>
      <c r="C61" s="56" t="str">
        <f t="shared" si="88"/>
        <v>HDKOTE/1714</v>
      </c>
      <c r="D61" s="51" t="s">
        <v>133</v>
      </c>
      <c r="E61" s="55" t="str">
        <f t="shared" si="130"/>
        <v>HAEH224</v>
      </c>
      <c r="F61" s="50">
        <f t="shared" si="130"/>
        <v>3</v>
      </c>
      <c r="G61" s="49" t="s">
        <v>221</v>
      </c>
      <c r="H61" s="64" t="s">
        <v>222</v>
      </c>
      <c r="I61" s="49">
        <f t="shared" si="131"/>
        <v>3</v>
      </c>
      <c r="J61" s="49" t="str">
        <f t="shared" si="131"/>
        <v>LT 3</v>
      </c>
      <c r="K61" s="84">
        <f>HAEH224!Q32</f>
        <v>7111.7</v>
      </c>
      <c r="L61" s="84">
        <f>HAEH224!P32</f>
        <v>7450.4</v>
      </c>
      <c r="M61" s="84">
        <f>M60</f>
        <v>1</v>
      </c>
      <c r="N61" s="84">
        <f t="shared" ref="N61:N64" si="138">(L61-K61)*M61</f>
        <v>338.69999999999982</v>
      </c>
      <c r="O61" s="84">
        <f>HAEH224!F32</f>
        <v>1761.2</v>
      </c>
      <c r="P61" s="84">
        <f>HAEH224!E32</f>
        <v>1815.7</v>
      </c>
      <c r="Q61" s="84">
        <f t="shared" si="91"/>
        <v>1</v>
      </c>
      <c r="R61" s="84">
        <f t="shared" ref="R61:R64" si="139">(P61-O61)*Q61</f>
        <v>54.5</v>
      </c>
      <c r="S61" s="84">
        <f>HAEH224!K32</f>
        <v>4723.3999999999996</v>
      </c>
      <c r="T61" s="84">
        <f>HAEH224!J32</f>
        <v>5011.8999999999996</v>
      </c>
      <c r="U61" s="84">
        <f>U60</f>
        <v>1</v>
      </c>
      <c r="V61" s="84">
        <f t="shared" ref="V61:V64" si="140">(T61-S61)*U61</f>
        <v>288.5</v>
      </c>
      <c r="W61" s="84"/>
      <c r="X61" s="84"/>
      <c r="Y61" s="85">
        <f t="shared" ref="Y61:Y64" si="141">N61/30/I61</f>
        <v>3.7633333333333314</v>
      </c>
      <c r="Z61" s="86"/>
      <c r="AA61" s="82"/>
    </row>
    <row r="62" spans="1:27" s="40" customFormat="1" ht="39.950000000000003" hidden="1" customHeight="1" x14ac:dyDescent="0.25">
      <c r="A62" s="49">
        <v>25</v>
      </c>
      <c r="B62" s="50" t="s">
        <v>43</v>
      </c>
      <c r="C62" s="56" t="str">
        <f t="shared" si="88"/>
        <v>HDKOTE/1714</v>
      </c>
      <c r="D62" s="51" t="s">
        <v>133</v>
      </c>
      <c r="E62" s="55" t="str">
        <f t="shared" ref="E62:F62" si="142">E60</f>
        <v>HAEH224</v>
      </c>
      <c r="F62" s="50">
        <f t="shared" si="142"/>
        <v>3</v>
      </c>
      <c r="G62" s="49" t="s">
        <v>221</v>
      </c>
      <c r="H62" s="64" t="s">
        <v>222</v>
      </c>
      <c r="I62" s="49">
        <f t="shared" ref="I62:J62" si="143">I60</f>
        <v>3</v>
      </c>
      <c r="J62" s="49" t="str">
        <f t="shared" si="143"/>
        <v>LT 3</v>
      </c>
      <c r="K62" s="84">
        <f>HAEH224!Q33</f>
        <v>7450.4</v>
      </c>
      <c r="L62" s="84">
        <f>HAEH224!P33</f>
        <v>7768.7</v>
      </c>
      <c r="M62" s="84">
        <f t="shared" ref="M62:M68" si="144">M61</f>
        <v>1</v>
      </c>
      <c r="N62" s="84">
        <f t="shared" si="138"/>
        <v>318.30000000000018</v>
      </c>
      <c r="O62" s="84">
        <f>HAEH224!F33</f>
        <v>1815.7</v>
      </c>
      <c r="P62" s="84">
        <f>HAEH224!E33</f>
        <v>1865.2</v>
      </c>
      <c r="Q62" s="84">
        <f t="shared" si="91"/>
        <v>1</v>
      </c>
      <c r="R62" s="84">
        <f t="shared" si="139"/>
        <v>49.5</v>
      </c>
      <c r="S62" s="84">
        <f>HAEH224!K33</f>
        <v>5011.8999999999996</v>
      </c>
      <c r="T62" s="84">
        <f>HAEH224!J33</f>
        <v>5278.9</v>
      </c>
      <c r="U62" s="84">
        <f t="shared" ref="U62:U68" si="145">U61</f>
        <v>1</v>
      </c>
      <c r="V62" s="84">
        <f t="shared" si="140"/>
        <v>267</v>
      </c>
      <c r="W62" s="84"/>
      <c r="X62" s="84"/>
      <c r="Y62" s="85">
        <f t="shared" si="141"/>
        <v>3.5366666666666688</v>
      </c>
      <c r="Z62" s="86"/>
      <c r="AA62" s="82"/>
    </row>
    <row r="63" spans="1:27" s="40" customFormat="1" ht="39.950000000000003" hidden="1" customHeight="1" x14ac:dyDescent="0.25">
      <c r="A63" s="49">
        <v>26</v>
      </c>
      <c r="B63" s="50" t="s">
        <v>43</v>
      </c>
      <c r="C63" s="56" t="str">
        <f t="shared" si="88"/>
        <v>HDKOTE/1714</v>
      </c>
      <c r="D63" s="51" t="s">
        <v>133</v>
      </c>
      <c r="E63" s="55" t="str">
        <f t="shared" ref="E63:F63" si="146">E61</f>
        <v>HAEH224</v>
      </c>
      <c r="F63" s="50">
        <f t="shared" si="146"/>
        <v>3</v>
      </c>
      <c r="G63" s="49" t="s">
        <v>221</v>
      </c>
      <c r="H63" s="64" t="s">
        <v>222</v>
      </c>
      <c r="I63" s="49">
        <f t="shared" ref="I63:J63" si="147">I61</f>
        <v>3</v>
      </c>
      <c r="J63" s="49" t="str">
        <f t="shared" si="147"/>
        <v>LT 3</v>
      </c>
      <c r="K63" s="84">
        <f>HAEH224!Q34</f>
        <v>7768.7</v>
      </c>
      <c r="L63" s="84">
        <f>HAEH224!P34</f>
        <v>8057</v>
      </c>
      <c r="M63" s="84">
        <f t="shared" si="144"/>
        <v>1</v>
      </c>
      <c r="N63" s="84">
        <f t="shared" si="138"/>
        <v>288.30000000000018</v>
      </c>
      <c r="O63" s="84">
        <f>HAEH224!F34</f>
        <v>1865.2</v>
      </c>
      <c r="P63" s="84">
        <f>HAEH224!E34</f>
        <v>1918.3</v>
      </c>
      <c r="Q63" s="84">
        <f t="shared" si="91"/>
        <v>1</v>
      </c>
      <c r="R63" s="84">
        <f t="shared" si="139"/>
        <v>53.099999999999909</v>
      </c>
      <c r="S63" s="84">
        <f>HAEH224!K34</f>
        <v>5278.9</v>
      </c>
      <c r="T63" s="84">
        <f>HAEH224!J34</f>
        <v>5501.1</v>
      </c>
      <c r="U63" s="84">
        <f t="shared" si="145"/>
        <v>1</v>
      </c>
      <c r="V63" s="84">
        <f t="shared" si="140"/>
        <v>222.20000000000073</v>
      </c>
      <c r="W63" s="84"/>
      <c r="X63" s="84"/>
      <c r="Y63" s="85">
        <f t="shared" si="141"/>
        <v>3.2033333333333354</v>
      </c>
      <c r="Z63" s="86"/>
      <c r="AA63" s="82"/>
    </row>
    <row r="64" spans="1:27" s="40" customFormat="1" ht="39.950000000000003" hidden="1" customHeight="1" x14ac:dyDescent="0.25">
      <c r="A64" s="49">
        <v>27</v>
      </c>
      <c r="B64" s="50" t="s">
        <v>43</v>
      </c>
      <c r="C64" s="56" t="str">
        <f t="shared" si="88"/>
        <v>HDKOTE/1714</v>
      </c>
      <c r="D64" s="51" t="s">
        <v>133</v>
      </c>
      <c r="E64" s="55" t="str">
        <f t="shared" ref="E64:F64" si="148">E62</f>
        <v>HAEH224</v>
      </c>
      <c r="F64" s="50">
        <f t="shared" si="148"/>
        <v>3</v>
      </c>
      <c r="G64" s="49" t="s">
        <v>221</v>
      </c>
      <c r="H64" s="64" t="s">
        <v>222</v>
      </c>
      <c r="I64" s="49">
        <f t="shared" ref="I64:J64" si="149">I62</f>
        <v>3</v>
      </c>
      <c r="J64" s="49" t="str">
        <f t="shared" si="149"/>
        <v>LT 3</v>
      </c>
      <c r="K64" s="84">
        <f>HAEH224!Q35</f>
        <v>8057</v>
      </c>
      <c r="L64" s="84">
        <f>HAEH224!P35</f>
        <v>8348</v>
      </c>
      <c r="M64" s="84">
        <f t="shared" si="144"/>
        <v>1</v>
      </c>
      <c r="N64" s="84">
        <f t="shared" si="138"/>
        <v>291</v>
      </c>
      <c r="O64" s="84">
        <f>HAEH224!F35</f>
        <v>1918.3</v>
      </c>
      <c r="P64" s="84">
        <f>HAEH224!E35</f>
        <v>1969.4</v>
      </c>
      <c r="Q64" s="84">
        <f t="shared" si="91"/>
        <v>1</v>
      </c>
      <c r="R64" s="84">
        <f t="shared" si="139"/>
        <v>51.100000000000136</v>
      </c>
      <c r="S64" s="84">
        <f>HAEH224!K35</f>
        <v>5501.1</v>
      </c>
      <c r="T64" s="84">
        <f>HAEH224!J35</f>
        <v>5743.5</v>
      </c>
      <c r="U64" s="84">
        <f t="shared" si="145"/>
        <v>1</v>
      </c>
      <c r="V64" s="84">
        <f t="shared" si="140"/>
        <v>242.39999999999964</v>
      </c>
      <c r="W64" s="84"/>
      <c r="X64" s="84"/>
      <c r="Y64" s="85">
        <f t="shared" si="141"/>
        <v>3.2333333333333329</v>
      </c>
      <c r="Z64" s="86"/>
      <c r="AA64" s="82"/>
    </row>
    <row r="65" spans="1:27" s="40" customFormat="1" ht="39.950000000000003" hidden="1" customHeight="1" x14ac:dyDescent="0.25">
      <c r="A65" s="49">
        <v>28</v>
      </c>
      <c r="B65" s="50" t="s">
        <v>43</v>
      </c>
      <c r="C65" s="56" t="str">
        <f t="shared" si="88"/>
        <v>HDKOTE/1714</v>
      </c>
      <c r="D65" s="51" t="s">
        <v>133</v>
      </c>
      <c r="E65" s="55" t="str">
        <f t="shared" ref="E65:F67" si="150">E63</f>
        <v>HAEH224</v>
      </c>
      <c r="F65" s="50">
        <f t="shared" si="150"/>
        <v>3</v>
      </c>
      <c r="G65" s="49" t="s">
        <v>221</v>
      </c>
      <c r="H65" s="64" t="s">
        <v>222</v>
      </c>
      <c r="I65" s="49">
        <f t="shared" ref="I65:J67" si="151">I63</f>
        <v>3</v>
      </c>
      <c r="J65" s="49" t="str">
        <f t="shared" si="151"/>
        <v>LT 3</v>
      </c>
      <c r="K65" s="84">
        <f>HAEH224!Q36</f>
        <v>8348</v>
      </c>
      <c r="L65" s="84">
        <f>HAEH224!P36</f>
        <v>8681.7999999999993</v>
      </c>
      <c r="M65" s="84">
        <f t="shared" si="144"/>
        <v>1</v>
      </c>
      <c r="N65" s="84">
        <f t="shared" ref="N65:N68" si="152">(L65-K65)*M65</f>
        <v>333.79999999999927</v>
      </c>
      <c r="O65" s="84">
        <f>HAEH224!F36</f>
        <v>1969.4</v>
      </c>
      <c r="P65" s="84">
        <f>HAEH224!E36</f>
        <v>2017.2</v>
      </c>
      <c r="Q65" s="84">
        <f t="shared" si="91"/>
        <v>1</v>
      </c>
      <c r="R65" s="84">
        <f t="shared" ref="R65:R68" si="153">(P65-O65)*Q65</f>
        <v>47.799999999999955</v>
      </c>
      <c r="S65" s="84">
        <f>HAEH224!K36</f>
        <v>5743.5</v>
      </c>
      <c r="T65" s="84">
        <f>HAEH224!J36</f>
        <v>6024.9</v>
      </c>
      <c r="U65" s="84">
        <f t="shared" si="145"/>
        <v>1</v>
      </c>
      <c r="V65" s="84">
        <f t="shared" ref="V65:V68" si="154">(T65-S65)*U65</f>
        <v>281.39999999999964</v>
      </c>
      <c r="W65" s="84">
        <f>HAEH224!U36</f>
        <v>0.43</v>
      </c>
      <c r="X65" s="84">
        <f>HAEH224!V36</f>
        <v>0.98</v>
      </c>
      <c r="Y65" s="85">
        <f t="shared" ref="Y65:Y68" si="155">N65/30/I65</f>
        <v>3.7088888888888807</v>
      </c>
      <c r="Z65" s="86"/>
      <c r="AA65" s="82"/>
    </row>
    <row r="66" spans="1:27" s="40" customFormat="1" ht="39.950000000000003" hidden="1" customHeight="1" x14ac:dyDescent="0.25">
      <c r="A66" s="49">
        <v>29</v>
      </c>
      <c r="B66" s="50" t="s">
        <v>43</v>
      </c>
      <c r="C66" s="56" t="str">
        <f t="shared" si="88"/>
        <v>HDKOTE/1714</v>
      </c>
      <c r="D66" s="51" t="s">
        <v>133</v>
      </c>
      <c r="E66" s="55" t="str">
        <f t="shared" ref="E66:F66" si="156">E64</f>
        <v>HAEH224</v>
      </c>
      <c r="F66" s="50">
        <f t="shared" si="156"/>
        <v>3</v>
      </c>
      <c r="G66" s="49" t="s">
        <v>221</v>
      </c>
      <c r="H66" s="64" t="s">
        <v>222</v>
      </c>
      <c r="I66" s="49">
        <f t="shared" ref="I66:J66" si="157">I64</f>
        <v>3</v>
      </c>
      <c r="J66" s="49" t="str">
        <f t="shared" si="157"/>
        <v>LT 3</v>
      </c>
      <c r="K66" s="84">
        <f>HAEH224!Q37</f>
        <v>8681.7999999999993</v>
      </c>
      <c r="L66" s="84">
        <f>HAEH224!P37</f>
        <v>9071</v>
      </c>
      <c r="M66" s="84">
        <f t="shared" si="144"/>
        <v>1</v>
      </c>
      <c r="N66" s="84">
        <f t="shared" si="152"/>
        <v>389.20000000000073</v>
      </c>
      <c r="O66" s="84">
        <f>HAEH224!F37</f>
        <v>2017.2</v>
      </c>
      <c r="P66" s="84">
        <f>HAEH224!E37</f>
        <v>2072.9</v>
      </c>
      <c r="Q66" s="84">
        <f t="shared" si="91"/>
        <v>1</v>
      </c>
      <c r="R66" s="84">
        <f t="shared" si="153"/>
        <v>55.700000000000045</v>
      </c>
      <c r="S66" s="84">
        <f>HAEH224!K37</f>
        <v>6024.9</v>
      </c>
      <c r="T66" s="84">
        <f>HAEH224!J37</f>
        <v>6301.6</v>
      </c>
      <c r="U66" s="84">
        <f t="shared" si="145"/>
        <v>1</v>
      </c>
      <c r="V66" s="84">
        <f t="shared" si="154"/>
        <v>276.70000000000073</v>
      </c>
      <c r="W66" s="84">
        <f>HAEH224!U37</f>
        <v>1.69</v>
      </c>
      <c r="X66" s="84">
        <f>HAEH224!V37</f>
        <v>0.95</v>
      </c>
      <c r="Y66" s="85">
        <f t="shared" si="155"/>
        <v>4.3244444444444525</v>
      </c>
      <c r="Z66" s="86"/>
      <c r="AA66" s="82"/>
    </row>
    <row r="67" spans="1:27" s="40" customFormat="1" ht="39.950000000000003" customHeight="1" x14ac:dyDescent="0.25">
      <c r="A67" s="49">
        <v>30</v>
      </c>
      <c r="B67" s="50" t="s">
        <v>43</v>
      </c>
      <c r="C67" s="56" t="str">
        <f t="shared" si="88"/>
        <v>HDKOTE/1714</v>
      </c>
      <c r="D67" s="51" t="s">
        <v>133</v>
      </c>
      <c r="E67" s="55" t="str">
        <f t="shared" si="150"/>
        <v>HAEH224</v>
      </c>
      <c r="F67" s="50">
        <f t="shared" si="150"/>
        <v>3</v>
      </c>
      <c r="G67" s="49" t="s">
        <v>221</v>
      </c>
      <c r="H67" s="64" t="s">
        <v>222</v>
      </c>
      <c r="I67" s="49">
        <f t="shared" si="151"/>
        <v>3</v>
      </c>
      <c r="J67" s="49" t="str">
        <f t="shared" si="151"/>
        <v>LT 3</v>
      </c>
      <c r="K67" s="84">
        <f>HAEH224!Q38</f>
        <v>9071</v>
      </c>
      <c r="L67" s="84">
        <f>HAEH224!P38</f>
        <v>9273.7999999999993</v>
      </c>
      <c r="M67" s="84">
        <f t="shared" si="144"/>
        <v>1</v>
      </c>
      <c r="N67" s="84">
        <f t="shared" ref="N67" si="158">(L67-K67)*M67</f>
        <v>202.79999999999927</v>
      </c>
      <c r="O67" s="84">
        <f>HAEH224!F38</f>
        <v>2072.9</v>
      </c>
      <c r="P67" s="84">
        <f>HAEH224!E38</f>
        <v>2146.5</v>
      </c>
      <c r="Q67" s="84">
        <f t="shared" si="91"/>
        <v>1</v>
      </c>
      <c r="R67" s="84">
        <f t="shared" ref="R67" si="159">(P67-O67)*Q67</f>
        <v>73.599999999999909</v>
      </c>
      <c r="S67" s="84">
        <f>HAEH224!K38</f>
        <v>6301.6</v>
      </c>
      <c r="T67" s="84">
        <f>HAEH224!J38</f>
        <v>6472.4</v>
      </c>
      <c r="U67" s="84">
        <f t="shared" si="145"/>
        <v>1</v>
      </c>
      <c r="V67" s="84">
        <f t="shared" ref="V67" si="160">(T67-S67)*U67</f>
        <v>170.79999999999927</v>
      </c>
      <c r="W67" s="84">
        <f>HAEH224!U38</f>
        <v>1.66</v>
      </c>
      <c r="X67" s="84">
        <f>HAEH224!V38</f>
        <v>0.98</v>
      </c>
      <c r="Y67" s="85">
        <f t="shared" si="155"/>
        <v>2.2533333333333254</v>
      </c>
      <c r="Z67" s="86"/>
      <c r="AA67" s="82"/>
    </row>
    <row r="68" spans="1:27" s="40" customFormat="1" ht="39.950000000000003" hidden="1" customHeight="1" x14ac:dyDescent="0.25">
      <c r="A68" s="49">
        <v>31</v>
      </c>
      <c r="B68" s="50" t="s">
        <v>43</v>
      </c>
      <c r="C68" s="56" t="str">
        <f t="shared" si="88"/>
        <v>HDKOTE/1714</v>
      </c>
      <c r="D68" s="51" t="s">
        <v>133</v>
      </c>
      <c r="E68" s="55" t="str">
        <f t="shared" ref="E68:F68" si="161">E66</f>
        <v>HAEH224</v>
      </c>
      <c r="F68" s="50">
        <f t="shared" si="161"/>
        <v>3</v>
      </c>
      <c r="G68" s="49" t="s">
        <v>221</v>
      </c>
      <c r="H68" s="64" t="s">
        <v>222</v>
      </c>
      <c r="I68" s="49">
        <f t="shared" ref="I68:J68" si="162">I66</f>
        <v>3</v>
      </c>
      <c r="J68" s="49" t="str">
        <f t="shared" si="162"/>
        <v>LT 3</v>
      </c>
      <c r="K68" s="84">
        <f>HAEH224!Q70</f>
        <v>0</v>
      </c>
      <c r="L68" s="84">
        <f>HAEH224!P70</f>
        <v>0</v>
      </c>
      <c r="M68" s="84">
        <f t="shared" si="144"/>
        <v>1</v>
      </c>
      <c r="N68" s="84">
        <f t="shared" si="152"/>
        <v>0</v>
      </c>
      <c r="O68" s="84">
        <f>HAEH224!F70</f>
        <v>0</v>
      </c>
      <c r="P68" s="84">
        <f>HAEH224!E70</f>
        <v>0</v>
      </c>
      <c r="Q68" s="84">
        <f t="shared" si="91"/>
        <v>1</v>
      </c>
      <c r="R68" s="84">
        <f t="shared" si="153"/>
        <v>0</v>
      </c>
      <c r="S68" s="84">
        <f>HAEH224!K70</f>
        <v>0</v>
      </c>
      <c r="T68" s="84">
        <f>HAEH224!J70</f>
        <v>0</v>
      </c>
      <c r="U68" s="84">
        <f t="shared" si="145"/>
        <v>1</v>
      </c>
      <c r="V68" s="84">
        <f t="shared" si="154"/>
        <v>0</v>
      </c>
      <c r="W68" s="84"/>
      <c r="X68" s="84"/>
      <c r="Y68" s="85">
        <f t="shared" si="155"/>
        <v>0</v>
      </c>
      <c r="Z68" s="86"/>
      <c r="AA68" s="82"/>
    </row>
    <row r="69" spans="1:27" s="40" customFormat="1" ht="39.950000000000003" hidden="1" customHeight="1" x14ac:dyDescent="0.25">
      <c r="A69" s="49"/>
      <c r="B69" s="50"/>
      <c r="C69" s="56"/>
      <c r="D69" s="51"/>
      <c r="E69" s="55"/>
      <c r="F69" s="50"/>
      <c r="G69" s="49"/>
      <c r="H69" s="64"/>
      <c r="I69" s="49"/>
      <c r="J69" s="49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86"/>
      <c r="AA69" s="82"/>
    </row>
    <row r="70" spans="1:27" s="40" customFormat="1" ht="39.950000000000003" hidden="1" customHeight="1" x14ac:dyDescent="0.25">
      <c r="A70" s="49"/>
      <c r="B70" s="50"/>
      <c r="C70" s="56"/>
      <c r="D70" s="51"/>
      <c r="E70" s="55"/>
      <c r="F70" s="50"/>
      <c r="G70" s="49"/>
      <c r="H70" s="64"/>
      <c r="I70" s="49"/>
      <c r="J70" s="49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86"/>
      <c r="AA70" s="82"/>
    </row>
    <row r="71" spans="1:27" s="40" customFormat="1" ht="39.950000000000003" hidden="1" customHeight="1" x14ac:dyDescent="0.25">
      <c r="A71" s="49">
        <v>1</v>
      </c>
      <c r="B71" s="50" t="s">
        <v>43</v>
      </c>
      <c r="C71" s="56" t="s">
        <v>229</v>
      </c>
      <c r="D71" s="51" t="s">
        <v>137</v>
      </c>
      <c r="E71" s="55" t="s">
        <v>135</v>
      </c>
      <c r="F71" s="50">
        <v>0.88</v>
      </c>
      <c r="G71" s="49" t="s">
        <v>221</v>
      </c>
      <c r="H71" s="64" t="s">
        <v>222</v>
      </c>
      <c r="I71" s="49">
        <v>3</v>
      </c>
      <c r="J71" s="49" t="s">
        <v>224</v>
      </c>
      <c r="K71" s="84">
        <f>'HKL546'!Q8</f>
        <v>6120</v>
      </c>
      <c r="L71" s="84">
        <f>'HKL546'!P8</f>
        <v>6298</v>
      </c>
      <c r="M71" s="84">
        <f>'[1]April-18'!M8</f>
        <v>1</v>
      </c>
      <c r="N71" s="84">
        <f t="shared" si="0"/>
        <v>178</v>
      </c>
      <c r="O71" s="84">
        <f>'HKL546'!F8</f>
        <v>653.6</v>
      </c>
      <c r="P71" s="84">
        <f>'HKL546'!E8</f>
        <v>1362.7</v>
      </c>
      <c r="Q71" s="84">
        <v>1</v>
      </c>
      <c r="R71" s="84">
        <f t="shared" si="7"/>
        <v>709.1</v>
      </c>
      <c r="S71" s="84">
        <f>'HKL546'!K8</f>
        <v>7.1</v>
      </c>
      <c r="T71" s="84">
        <f>'HKL546'!J8</f>
        <v>15.8</v>
      </c>
      <c r="U71" s="84">
        <f>'[1]April-18'!U8</f>
        <v>1</v>
      </c>
      <c r="V71" s="84">
        <f t="shared" si="8"/>
        <v>8.7000000000000011</v>
      </c>
      <c r="W71" s="84"/>
      <c r="X71" s="84"/>
      <c r="Y71" s="85">
        <f t="shared" si="87"/>
        <v>1.9777777777777779</v>
      </c>
      <c r="Z71" s="86"/>
      <c r="AA71" s="82" t="str">
        <f>'HKL546'!B8</f>
        <v>01.08.2019</v>
      </c>
    </row>
    <row r="72" spans="1:27" s="40" customFormat="1" ht="39.75" hidden="1" customHeight="1" x14ac:dyDescent="0.25">
      <c r="A72" s="49">
        <v>2</v>
      </c>
      <c r="B72" s="50" t="s">
        <v>43</v>
      </c>
      <c r="C72" s="56" t="str">
        <f>C71</f>
        <v>HDKOTE/1714</v>
      </c>
      <c r="D72" s="51" t="s">
        <v>137</v>
      </c>
      <c r="E72" s="55" t="str">
        <f>E71</f>
        <v>HKL546</v>
      </c>
      <c r="F72" s="50">
        <f>F71</f>
        <v>0.88</v>
      </c>
      <c r="G72" s="49" t="s">
        <v>221</v>
      </c>
      <c r="H72" s="64" t="s">
        <v>222</v>
      </c>
      <c r="I72" s="49">
        <f>I71</f>
        <v>3</v>
      </c>
      <c r="J72" s="49" t="str">
        <f>J71</f>
        <v>LT 3</v>
      </c>
      <c r="K72" s="84">
        <f>'HKL546'!Q9</f>
        <v>6298</v>
      </c>
      <c r="L72" s="84">
        <f>'HKL546'!P9</f>
        <v>6453</v>
      </c>
      <c r="M72" s="84">
        <f>'[1]April-18'!M9</f>
        <v>1</v>
      </c>
      <c r="N72" s="84">
        <f t="shared" si="0"/>
        <v>155</v>
      </c>
      <c r="O72" s="84">
        <f>'HKL546'!F9</f>
        <v>1362.7</v>
      </c>
      <c r="P72" s="84">
        <f>'HKL546'!E9</f>
        <v>1842</v>
      </c>
      <c r="Q72" s="84">
        <f>Q71</f>
        <v>1</v>
      </c>
      <c r="R72" s="84">
        <f t="shared" si="7"/>
        <v>479.29999999999995</v>
      </c>
      <c r="S72" s="84">
        <f>'HKL546'!K9</f>
        <v>15.8</v>
      </c>
      <c r="T72" s="84">
        <f>'HKL546'!J9</f>
        <v>31.6</v>
      </c>
      <c r="U72" s="84">
        <f>'[1]April-18'!U9</f>
        <v>1</v>
      </c>
      <c r="V72" s="84">
        <f t="shared" si="8"/>
        <v>15.8</v>
      </c>
      <c r="W72" s="84"/>
      <c r="X72" s="84"/>
      <c r="Y72" s="85">
        <f t="shared" si="87"/>
        <v>1.7222222222222223</v>
      </c>
      <c r="Z72" s="86"/>
      <c r="AA72" s="82" t="str">
        <f>'HKL546'!B9</f>
        <v>01.09.2019</v>
      </c>
    </row>
    <row r="73" spans="1:27" s="40" customFormat="1" ht="39.950000000000003" hidden="1" customHeight="1" x14ac:dyDescent="0.25">
      <c r="A73" s="49">
        <v>3</v>
      </c>
      <c r="B73" s="50" t="s">
        <v>43</v>
      </c>
      <c r="C73" s="56" t="str">
        <f>C72</f>
        <v>HDKOTE/1714</v>
      </c>
      <c r="D73" s="51" t="s">
        <v>137</v>
      </c>
      <c r="E73" s="55" t="str">
        <f>E72</f>
        <v>HKL546</v>
      </c>
      <c r="F73" s="50">
        <f>F72</f>
        <v>0.88</v>
      </c>
      <c r="G73" s="49" t="s">
        <v>221</v>
      </c>
      <c r="H73" s="64" t="s">
        <v>222</v>
      </c>
      <c r="I73" s="49">
        <f>I72</f>
        <v>3</v>
      </c>
      <c r="J73" s="49" t="str">
        <f>J72</f>
        <v>LT 3</v>
      </c>
      <c r="K73" s="84">
        <f>'HKL546'!Q10</f>
        <v>6453</v>
      </c>
      <c r="L73" s="84">
        <f>'HKL546'!P10</f>
        <v>6469.9</v>
      </c>
      <c r="M73" s="84">
        <f>'[1]April-18'!M10</f>
        <v>1</v>
      </c>
      <c r="N73" s="84">
        <f t="shared" si="0"/>
        <v>16.899999999999636</v>
      </c>
      <c r="O73" s="84">
        <f>'HKL546'!F10</f>
        <v>1842</v>
      </c>
      <c r="P73" s="84">
        <f>'HKL546'!E10</f>
        <v>2427.4</v>
      </c>
      <c r="Q73" s="84">
        <f>Q72</f>
        <v>1</v>
      </c>
      <c r="R73" s="84">
        <f t="shared" si="7"/>
        <v>585.40000000000009</v>
      </c>
      <c r="S73" s="84">
        <f>'HKL546'!K10</f>
        <v>31.6</v>
      </c>
      <c r="T73" s="84">
        <f>'HKL546'!J10</f>
        <v>33</v>
      </c>
      <c r="U73" s="84">
        <f>'[1]April-18'!U10</f>
        <v>1</v>
      </c>
      <c r="V73" s="84">
        <f t="shared" si="8"/>
        <v>1.3999999999999986</v>
      </c>
      <c r="W73" s="84"/>
      <c r="X73" s="84"/>
      <c r="Y73" s="85">
        <f t="shared" si="87"/>
        <v>0.18777777777777374</v>
      </c>
      <c r="Z73" s="86"/>
      <c r="AA73" s="82" t="str">
        <f>'HKL546'!B10</f>
        <v>01.10.2019</v>
      </c>
    </row>
    <row r="74" spans="1:27" s="40" customFormat="1" ht="39.950000000000003" hidden="1" customHeight="1" x14ac:dyDescent="0.25">
      <c r="A74" s="49">
        <v>4</v>
      </c>
      <c r="B74" s="50" t="s">
        <v>43</v>
      </c>
      <c r="C74" s="56" t="str">
        <f t="shared" ref="C74:C101" si="163">C73</f>
        <v>HDKOTE/1714</v>
      </c>
      <c r="D74" s="51" t="s">
        <v>137</v>
      </c>
      <c r="E74" s="55" t="str">
        <f t="shared" ref="E74:F77" si="164">E73</f>
        <v>HKL546</v>
      </c>
      <c r="F74" s="50">
        <f t="shared" si="164"/>
        <v>0.88</v>
      </c>
      <c r="G74" s="49" t="s">
        <v>221</v>
      </c>
      <c r="H74" s="64" t="s">
        <v>222</v>
      </c>
      <c r="I74" s="49">
        <f t="shared" ref="I74:J77" si="165">I73</f>
        <v>3</v>
      </c>
      <c r="J74" s="49" t="str">
        <f t="shared" si="165"/>
        <v>LT 3</v>
      </c>
      <c r="K74" s="84">
        <f>'HKL546'!Q11</f>
        <v>6469.9</v>
      </c>
      <c r="L74" s="84">
        <f>'HKL546'!P11</f>
        <v>6526.6</v>
      </c>
      <c r="M74" s="84">
        <f>'[1]April-18'!M11</f>
        <v>1</v>
      </c>
      <c r="N74" s="84">
        <f t="shared" si="0"/>
        <v>56.700000000000728</v>
      </c>
      <c r="O74" s="84">
        <f>'HKL546'!F11</f>
        <v>2427.4</v>
      </c>
      <c r="P74" s="84">
        <f>'HKL546'!E11</f>
        <v>3023.5</v>
      </c>
      <c r="Q74" s="84">
        <f t="shared" ref="Q74:Q101" si="166">Q73</f>
        <v>1</v>
      </c>
      <c r="R74" s="84">
        <f t="shared" si="7"/>
        <v>596.09999999999991</v>
      </c>
      <c r="S74" s="84">
        <f>'HKL546'!K11</f>
        <v>33</v>
      </c>
      <c r="T74" s="84">
        <f>'HKL546'!J11</f>
        <v>33.700000000000003</v>
      </c>
      <c r="U74" s="84">
        <f>'[1]April-18'!U11</f>
        <v>1</v>
      </c>
      <c r="V74" s="84">
        <f t="shared" si="8"/>
        <v>0.70000000000000284</v>
      </c>
      <c r="W74" s="84"/>
      <c r="X74" s="84"/>
      <c r="Y74" s="85">
        <f t="shared" si="87"/>
        <v>0.63000000000000811</v>
      </c>
      <c r="Z74" s="86"/>
      <c r="AA74" s="82" t="str">
        <f>'HKL546'!B11</f>
        <v>01.11.2019</v>
      </c>
    </row>
    <row r="75" spans="1:27" s="40" customFormat="1" ht="39.950000000000003" hidden="1" customHeight="1" x14ac:dyDescent="0.25">
      <c r="A75" s="49">
        <v>5</v>
      </c>
      <c r="B75" s="50" t="s">
        <v>43</v>
      </c>
      <c r="C75" s="56" t="str">
        <f t="shared" si="163"/>
        <v>HDKOTE/1714</v>
      </c>
      <c r="D75" s="51" t="s">
        <v>137</v>
      </c>
      <c r="E75" s="55" t="str">
        <f t="shared" si="164"/>
        <v>HKL546</v>
      </c>
      <c r="F75" s="50">
        <f t="shared" si="164"/>
        <v>0.88</v>
      </c>
      <c r="G75" s="49" t="s">
        <v>221</v>
      </c>
      <c r="H75" s="64" t="s">
        <v>222</v>
      </c>
      <c r="I75" s="49">
        <f t="shared" si="165"/>
        <v>3</v>
      </c>
      <c r="J75" s="49" t="str">
        <f t="shared" si="165"/>
        <v>LT 3</v>
      </c>
      <c r="K75" s="84">
        <f>'HKL546'!Q12</f>
        <v>6526.6</v>
      </c>
      <c r="L75" s="84">
        <f>'HKL546'!P12</f>
        <v>6700.8</v>
      </c>
      <c r="M75" s="84">
        <f>'[1]April-18'!M12</f>
        <v>1</v>
      </c>
      <c r="N75" s="84">
        <f t="shared" si="0"/>
        <v>174.19999999999982</v>
      </c>
      <c r="O75" s="84">
        <f>'HKL546'!F12</f>
        <v>3023.5</v>
      </c>
      <c r="P75" s="84">
        <f>'HKL546'!E12</f>
        <v>3499.6</v>
      </c>
      <c r="Q75" s="84">
        <f t="shared" si="166"/>
        <v>1</v>
      </c>
      <c r="R75" s="84">
        <f t="shared" si="7"/>
        <v>476.09999999999991</v>
      </c>
      <c r="S75" s="84">
        <f>'HKL546'!K12</f>
        <v>33.700000000000003</v>
      </c>
      <c r="T75" s="84">
        <f>'HKL546'!J12</f>
        <v>68.599999999999994</v>
      </c>
      <c r="U75" s="84">
        <f>'[1]April-18'!U12</f>
        <v>1</v>
      </c>
      <c r="V75" s="84">
        <f t="shared" si="8"/>
        <v>34.899999999999991</v>
      </c>
      <c r="W75" s="84"/>
      <c r="X75" s="84"/>
      <c r="Y75" s="85">
        <f t="shared" si="87"/>
        <v>1.9355555555555535</v>
      </c>
      <c r="Z75" s="86"/>
      <c r="AA75" s="82" t="str">
        <f>'HKL546'!B12</f>
        <v>02.12.2019</v>
      </c>
    </row>
    <row r="76" spans="1:27" s="40" customFormat="1" ht="39.950000000000003" hidden="1" customHeight="1" x14ac:dyDescent="0.25">
      <c r="A76" s="49">
        <v>6</v>
      </c>
      <c r="B76" s="50" t="s">
        <v>43</v>
      </c>
      <c r="C76" s="56" t="str">
        <f t="shared" si="163"/>
        <v>HDKOTE/1714</v>
      </c>
      <c r="D76" s="51" t="s">
        <v>137</v>
      </c>
      <c r="E76" s="55" t="str">
        <f t="shared" si="164"/>
        <v>HKL546</v>
      </c>
      <c r="F76" s="50">
        <f t="shared" si="164"/>
        <v>0.88</v>
      </c>
      <c r="G76" s="49" t="s">
        <v>221</v>
      </c>
      <c r="H76" s="64" t="s">
        <v>222</v>
      </c>
      <c r="I76" s="49">
        <f t="shared" si="165"/>
        <v>3</v>
      </c>
      <c r="J76" s="49" t="str">
        <f t="shared" si="165"/>
        <v>LT 3</v>
      </c>
      <c r="K76" s="84">
        <f>'HKL546'!Q13</f>
        <v>6700.8</v>
      </c>
      <c r="L76" s="84">
        <f>'HKL546'!P13</f>
        <v>6823.9</v>
      </c>
      <c r="M76" s="84">
        <f>'[1]April-18'!M13</f>
        <v>1</v>
      </c>
      <c r="N76" s="84">
        <f t="shared" si="0"/>
        <v>123.09999999999945</v>
      </c>
      <c r="O76" s="84">
        <f>'HKL546'!F13</f>
        <v>3499.6</v>
      </c>
      <c r="P76" s="84">
        <f>'HKL546'!E13</f>
        <v>3920.8</v>
      </c>
      <c r="Q76" s="84">
        <f t="shared" si="166"/>
        <v>1</v>
      </c>
      <c r="R76" s="84">
        <f t="shared" si="7"/>
        <v>421.20000000000027</v>
      </c>
      <c r="S76" s="84">
        <f>'HKL546'!K13</f>
        <v>68.599999999999994</v>
      </c>
      <c r="T76" s="84">
        <f>'HKL546'!J13</f>
        <v>80.900000000000006</v>
      </c>
      <c r="U76" s="84">
        <f>'[1]April-18'!U13</f>
        <v>1</v>
      </c>
      <c r="V76" s="84">
        <f t="shared" si="8"/>
        <v>12.300000000000011</v>
      </c>
      <c r="W76" s="84"/>
      <c r="X76" s="84"/>
      <c r="Y76" s="85">
        <f t="shared" si="87"/>
        <v>1.3677777777777715</v>
      </c>
      <c r="Z76" s="86" t="s">
        <v>250</v>
      </c>
      <c r="AA76" s="82" t="str">
        <f>'HKL546'!B13</f>
        <v>01.01.2020</v>
      </c>
    </row>
    <row r="77" spans="1:27" s="40" customFormat="1" ht="39.950000000000003" hidden="1" customHeight="1" x14ac:dyDescent="0.25">
      <c r="A77" s="49">
        <v>7</v>
      </c>
      <c r="B77" s="50" t="s">
        <v>43</v>
      </c>
      <c r="C77" s="56" t="str">
        <f t="shared" si="163"/>
        <v>HDKOTE/1714</v>
      </c>
      <c r="D77" s="51" t="s">
        <v>137</v>
      </c>
      <c r="E77" s="55" t="str">
        <f t="shared" si="164"/>
        <v>HKL546</v>
      </c>
      <c r="F77" s="50">
        <f t="shared" si="164"/>
        <v>0.88</v>
      </c>
      <c r="G77" s="49" t="s">
        <v>221</v>
      </c>
      <c r="H77" s="64" t="s">
        <v>222</v>
      </c>
      <c r="I77" s="49">
        <f t="shared" si="165"/>
        <v>3</v>
      </c>
      <c r="J77" s="49" t="str">
        <f t="shared" si="165"/>
        <v>LT 3</v>
      </c>
      <c r="K77" s="84">
        <f>'HKL546'!Q14</f>
        <v>6823.9</v>
      </c>
      <c r="L77" s="84">
        <f>'HKL546'!P14</f>
        <v>6949.8</v>
      </c>
      <c r="M77" s="84">
        <f>'[1]April-18'!M14</f>
        <v>1</v>
      </c>
      <c r="N77" s="84">
        <f t="shared" si="0"/>
        <v>125.90000000000055</v>
      </c>
      <c r="O77" s="84">
        <f>'HKL546'!F14</f>
        <v>3920.8</v>
      </c>
      <c r="P77" s="84">
        <f>'HKL546'!E14</f>
        <v>4406.8</v>
      </c>
      <c r="Q77" s="84">
        <f t="shared" si="166"/>
        <v>1</v>
      </c>
      <c r="R77" s="84">
        <f t="shared" si="7"/>
        <v>486</v>
      </c>
      <c r="S77" s="84">
        <f>'HKL546'!K14</f>
        <v>80.900000000000006</v>
      </c>
      <c r="T77" s="84">
        <f>'HKL546'!J14</f>
        <v>103.2</v>
      </c>
      <c r="U77" s="84">
        <f>'[1]April-18'!U14</f>
        <v>1</v>
      </c>
      <c r="V77" s="84">
        <f t="shared" si="8"/>
        <v>22.299999999999997</v>
      </c>
      <c r="W77" s="84"/>
      <c r="X77" s="84"/>
      <c r="Y77" s="85">
        <f t="shared" si="87"/>
        <v>1.3988888888888951</v>
      </c>
      <c r="Z77" s="86"/>
      <c r="AA77" s="82" t="s">
        <v>253</v>
      </c>
    </row>
    <row r="78" spans="1:27" s="40" customFormat="1" ht="39.950000000000003" hidden="1" customHeight="1" x14ac:dyDescent="0.25">
      <c r="A78" s="49">
        <v>8</v>
      </c>
      <c r="B78" s="50" t="s">
        <v>43</v>
      </c>
      <c r="C78" s="56" t="str">
        <f t="shared" si="163"/>
        <v>HDKOTE/1714</v>
      </c>
      <c r="D78" s="51" t="s">
        <v>137</v>
      </c>
      <c r="E78" s="55" t="str">
        <f t="shared" ref="E78:F78" si="167">E77</f>
        <v>HKL546</v>
      </c>
      <c r="F78" s="50">
        <f t="shared" si="167"/>
        <v>0.88</v>
      </c>
      <c r="G78" s="49" t="s">
        <v>221</v>
      </c>
      <c r="H78" s="64" t="s">
        <v>222</v>
      </c>
      <c r="I78" s="49">
        <f t="shared" ref="I78:J78" si="168">I77</f>
        <v>3</v>
      </c>
      <c r="J78" s="49" t="str">
        <f t="shared" si="168"/>
        <v>LT 3</v>
      </c>
      <c r="K78" s="84">
        <f>'HKL546'!Q15</f>
        <v>6949.8</v>
      </c>
      <c r="L78" s="84">
        <f>'HKL546'!P15</f>
        <v>7116</v>
      </c>
      <c r="M78" s="84">
        <f>'[1]April-18'!M15</f>
        <v>1</v>
      </c>
      <c r="N78" s="84">
        <f t="shared" ref="N78:N82" si="169">(L78-K78)*M78</f>
        <v>166.19999999999982</v>
      </c>
      <c r="O78" s="84">
        <f>'HKL546'!F15</f>
        <v>4406.8</v>
      </c>
      <c r="P78" s="84">
        <f>'HKL546'!E15</f>
        <v>4874.3999999999996</v>
      </c>
      <c r="Q78" s="84">
        <f t="shared" si="166"/>
        <v>1</v>
      </c>
      <c r="R78" s="84">
        <f t="shared" ref="R78:R82" si="170">(P78-O78)*Q78</f>
        <v>467.59999999999945</v>
      </c>
      <c r="S78" s="84">
        <f>'HKL546'!K15</f>
        <v>103.2</v>
      </c>
      <c r="T78" s="84">
        <f>'HKL546'!J15</f>
        <v>142.30000000000001</v>
      </c>
      <c r="U78" s="84">
        <f>'[1]April-18'!U15</f>
        <v>1</v>
      </c>
      <c r="V78" s="84">
        <f t="shared" ref="V78:V82" si="171">(T78-S78)*U78</f>
        <v>39.100000000000009</v>
      </c>
      <c r="W78" s="84"/>
      <c r="X78" s="84"/>
      <c r="Y78" s="85">
        <f t="shared" ref="Y78:Y82" si="172">N78/30/I78</f>
        <v>1.8466666666666647</v>
      </c>
      <c r="Z78" s="86"/>
      <c r="AA78" s="82" t="s">
        <v>254</v>
      </c>
    </row>
    <row r="79" spans="1:27" s="40" customFormat="1" ht="39.950000000000003" hidden="1" customHeight="1" x14ac:dyDescent="0.25">
      <c r="A79" s="49">
        <v>9</v>
      </c>
      <c r="B79" s="50" t="s">
        <v>43</v>
      </c>
      <c r="C79" s="56" t="str">
        <f t="shared" si="163"/>
        <v>HDKOTE/1714</v>
      </c>
      <c r="D79" s="51" t="s">
        <v>137</v>
      </c>
      <c r="E79" s="55" t="str">
        <f t="shared" ref="E79:F79" si="173">E78</f>
        <v>HKL546</v>
      </c>
      <c r="F79" s="50">
        <f t="shared" si="173"/>
        <v>0.88</v>
      </c>
      <c r="G79" s="49" t="s">
        <v>221</v>
      </c>
      <c r="H79" s="64" t="s">
        <v>222</v>
      </c>
      <c r="I79" s="49">
        <f t="shared" ref="I79:J79" si="174">I78</f>
        <v>3</v>
      </c>
      <c r="J79" s="49" t="str">
        <f t="shared" si="174"/>
        <v>LT 3</v>
      </c>
      <c r="K79" s="84">
        <f>'HKL546'!Q16</f>
        <v>7116</v>
      </c>
      <c r="L79" s="84">
        <f>'HKL546'!P16</f>
        <v>7351</v>
      </c>
      <c r="M79" s="84">
        <f>'[1]April-18'!M16</f>
        <v>1</v>
      </c>
      <c r="N79" s="84">
        <f t="shared" si="169"/>
        <v>235</v>
      </c>
      <c r="O79" s="84">
        <f>'HKL546'!F16</f>
        <v>4874.3999999999996</v>
      </c>
      <c r="P79" s="84">
        <f>'HKL546'!E16</f>
        <v>5346.4</v>
      </c>
      <c r="Q79" s="84">
        <f t="shared" si="166"/>
        <v>1</v>
      </c>
      <c r="R79" s="84">
        <f t="shared" si="170"/>
        <v>472</v>
      </c>
      <c r="S79" s="84">
        <f>'HKL546'!K16</f>
        <v>142.30000000000001</v>
      </c>
      <c r="T79" s="84">
        <f>'HKL546'!J16</f>
        <v>277.3</v>
      </c>
      <c r="U79" s="84">
        <f>'[1]April-18'!U16</f>
        <v>1</v>
      </c>
      <c r="V79" s="84">
        <f t="shared" si="171"/>
        <v>135</v>
      </c>
      <c r="W79" s="84"/>
      <c r="X79" s="84"/>
      <c r="Y79" s="85">
        <f t="shared" si="172"/>
        <v>2.6111111111111112</v>
      </c>
      <c r="Z79" s="86"/>
      <c r="AA79" s="82" t="s">
        <v>258</v>
      </c>
    </row>
    <row r="80" spans="1:27" s="40" customFormat="1" ht="39.950000000000003" hidden="1" customHeight="1" x14ac:dyDescent="0.25">
      <c r="A80" s="49">
        <v>10</v>
      </c>
      <c r="B80" s="50" t="s">
        <v>43</v>
      </c>
      <c r="C80" s="56" t="str">
        <f t="shared" si="163"/>
        <v>HDKOTE/1714</v>
      </c>
      <c r="D80" s="51" t="s">
        <v>137</v>
      </c>
      <c r="E80" s="55" t="str">
        <f t="shared" ref="E80:F80" si="175">E79</f>
        <v>HKL546</v>
      </c>
      <c r="F80" s="50">
        <f t="shared" si="175"/>
        <v>0.88</v>
      </c>
      <c r="G80" s="49" t="s">
        <v>221</v>
      </c>
      <c r="H80" s="64" t="s">
        <v>222</v>
      </c>
      <c r="I80" s="49">
        <f t="shared" ref="I80:J80" si="176">I79</f>
        <v>3</v>
      </c>
      <c r="J80" s="49" t="str">
        <f t="shared" si="176"/>
        <v>LT 3</v>
      </c>
      <c r="K80" s="84">
        <f>'HKL546'!Q17</f>
        <v>0</v>
      </c>
      <c r="L80" s="84">
        <f>'HKL546'!P17</f>
        <v>0</v>
      </c>
      <c r="M80" s="84">
        <f>'[1]April-18'!M17</f>
        <v>1</v>
      </c>
      <c r="N80" s="84">
        <f t="shared" si="169"/>
        <v>0</v>
      </c>
      <c r="O80" s="84">
        <f>'HKL546'!F17</f>
        <v>0</v>
      </c>
      <c r="P80" s="84">
        <f>'HKL546'!E17</f>
        <v>0</v>
      </c>
      <c r="Q80" s="84">
        <f t="shared" si="166"/>
        <v>1</v>
      </c>
      <c r="R80" s="84">
        <f t="shared" si="170"/>
        <v>0</v>
      </c>
      <c r="S80" s="84">
        <f>'HKL546'!K17</f>
        <v>0</v>
      </c>
      <c r="T80" s="84">
        <f>'HKL546'!J17</f>
        <v>0</v>
      </c>
      <c r="U80" s="84">
        <f>'[1]April-18'!U17</f>
        <v>1</v>
      </c>
      <c r="V80" s="84">
        <f t="shared" si="171"/>
        <v>0</v>
      </c>
      <c r="W80" s="84"/>
      <c r="X80" s="84"/>
      <c r="Y80" s="85">
        <f t="shared" si="172"/>
        <v>0</v>
      </c>
      <c r="Z80" s="86"/>
      <c r="AA80" s="82"/>
    </row>
    <row r="81" spans="1:27" s="40" customFormat="1" ht="39.950000000000003" hidden="1" customHeight="1" x14ac:dyDescent="0.25">
      <c r="A81" s="49">
        <v>11</v>
      </c>
      <c r="B81" s="50" t="s">
        <v>43</v>
      </c>
      <c r="C81" s="56" t="str">
        <f t="shared" si="163"/>
        <v>HDKOTE/1714</v>
      </c>
      <c r="D81" s="51" t="s">
        <v>137</v>
      </c>
      <c r="E81" s="55" t="str">
        <f t="shared" ref="E81:F83" si="177">E80</f>
        <v>HKL546</v>
      </c>
      <c r="F81" s="50">
        <f t="shared" si="177"/>
        <v>0.88</v>
      </c>
      <c r="G81" s="49" t="s">
        <v>221</v>
      </c>
      <c r="H81" s="64" t="s">
        <v>222</v>
      </c>
      <c r="I81" s="49">
        <f t="shared" ref="I81:J83" si="178">I80</f>
        <v>3</v>
      </c>
      <c r="J81" s="49" t="str">
        <f t="shared" si="178"/>
        <v>LT 3</v>
      </c>
      <c r="K81" s="84">
        <f>'HKL546'!Q18</f>
        <v>7351</v>
      </c>
      <c r="L81" s="84">
        <f>'HKL546'!P18</f>
        <v>7688.3</v>
      </c>
      <c r="M81" s="84">
        <f>'[1]April-18'!M18</f>
        <v>1</v>
      </c>
      <c r="N81" s="84">
        <f t="shared" si="169"/>
        <v>337.30000000000018</v>
      </c>
      <c r="O81" s="84">
        <f>'HKL546'!F18</f>
        <v>5346.4</v>
      </c>
      <c r="P81" s="84">
        <f>'HKL546'!E18</f>
        <v>5743.3</v>
      </c>
      <c r="Q81" s="84">
        <f t="shared" si="166"/>
        <v>1</v>
      </c>
      <c r="R81" s="84">
        <f t="shared" si="170"/>
        <v>396.90000000000055</v>
      </c>
      <c r="S81" s="84">
        <f>'HKL546'!K18</f>
        <v>277.3</v>
      </c>
      <c r="T81" s="84">
        <f>'HKL546'!J18</f>
        <v>465.8</v>
      </c>
      <c r="U81" s="84">
        <f>'[1]April-18'!U18</f>
        <v>1</v>
      </c>
      <c r="V81" s="84">
        <f t="shared" si="171"/>
        <v>188.5</v>
      </c>
      <c r="W81" s="84"/>
      <c r="X81" s="84"/>
      <c r="Y81" s="85">
        <f t="shared" si="172"/>
        <v>3.7477777777777797</v>
      </c>
      <c r="Z81" s="86"/>
      <c r="AA81" s="82" t="s">
        <v>259</v>
      </c>
    </row>
    <row r="82" spans="1:27" s="40" customFormat="1" ht="39.950000000000003" hidden="1" customHeight="1" x14ac:dyDescent="0.25">
      <c r="A82" s="49">
        <v>12</v>
      </c>
      <c r="B82" s="50" t="s">
        <v>43</v>
      </c>
      <c r="C82" s="56" t="str">
        <f t="shared" si="163"/>
        <v>HDKOTE/1714</v>
      </c>
      <c r="D82" s="51" t="s">
        <v>137</v>
      </c>
      <c r="E82" s="55" t="str">
        <f t="shared" ref="E82:F82" si="179">E81</f>
        <v>HKL546</v>
      </c>
      <c r="F82" s="50">
        <f t="shared" si="179"/>
        <v>0.88</v>
      </c>
      <c r="G82" s="49" t="s">
        <v>221</v>
      </c>
      <c r="H82" s="64" t="s">
        <v>222</v>
      </c>
      <c r="I82" s="49">
        <f t="shared" ref="I82:J82" si="180">I81</f>
        <v>3</v>
      </c>
      <c r="J82" s="49" t="str">
        <f t="shared" si="180"/>
        <v>LT 3</v>
      </c>
      <c r="K82" s="84">
        <f>'HKL546'!Q19</f>
        <v>7688.3</v>
      </c>
      <c r="L82" s="84">
        <f>'HKL546'!P19</f>
        <v>7761.9</v>
      </c>
      <c r="M82" s="84">
        <f>'[1]April-18'!M19</f>
        <v>1</v>
      </c>
      <c r="N82" s="84">
        <f t="shared" si="169"/>
        <v>73.599999999999454</v>
      </c>
      <c r="O82" s="84">
        <f>'HKL546'!F19</f>
        <v>5743.3</v>
      </c>
      <c r="P82" s="84">
        <f>'HKL546'!E19</f>
        <v>6263.1</v>
      </c>
      <c r="Q82" s="84">
        <f t="shared" si="166"/>
        <v>1</v>
      </c>
      <c r="R82" s="84">
        <f t="shared" si="170"/>
        <v>519.80000000000018</v>
      </c>
      <c r="S82" s="84">
        <f>'HKL546'!K19</f>
        <v>465.8</v>
      </c>
      <c r="T82" s="84">
        <f>'HKL546'!J19</f>
        <v>515.9</v>
      </c>
      <c r="U82" s="84">
        <f>'[1]April-18'!U19</f>
        <v>1</v>
      </c>
      <c r="V82" s="84">
        <f t="shared" si="171"/>
        <v>50.099999999999966</v>
      </c>
      <c r="W82" s="84"/>
      <c r="X82" s="84"/>
      <c r="Y82" s="85">
        <f t="shared" si="172"/>
        <v>0.81777777777777161</v>
      </c>
      <c r="Z82" s="86"/>
      <c r="AA82" s="82" t="s">
        <v>263</v>
      </c>
    </row>
    <row r="83" spans="1:27" s="40" customFormat="1" ht="39.950000000000003" hidden="1" customHeight="1" x14ac:dyDescent="0.25">
      <c r="A83" s="49">
        <v>13</v>
      </c>
      <c r="B83" s="50" t="s">
        <v>43</v>
      </c>
      <c r="C83" s="56" t="str">
        <f t="shared" si="163"/>
        <v>HDKOTE/1714</v>
      </c>
      <c r="D83" s="51" t="s">
        <v>137</v>
      </c>
      <c r="E83" s="55" t="str">
        <f t="shared" si="177"/>
        <v>HKL546</v>
      </c>
      <c r="F83" s="50">
        <f t="shared" si="177"/>
        <v>0.88</v>
      </c>
      <c r="G83" s="49" t="s">
        <v>221</v>
      </c>
      <c r="H83" s="64" t="s">
        <v>222</v>
      </c>
      <c r="I83" s="49">
        <f t="shared" si="178"/>
        <v>3</v>
      </c>
      <c r="J83" s="49" t="str">
        <f t="shared" si="178"/>
        <v>LT 3</v>
      </c>
      <c r="K83" s="84">
        <f>'HKL546'!Q20</f>
        <v>7761.9</v>
      </c>
      <c r="L83" s="84">
        <f>'HKL546'!P20</f>
        <v>7761.9</v>
      </c>
      <c r="M83" s="84">
        <f>'[1]April-18'!M20</f>
        <v>1</v>
      </c>
      <c r="N83" s="84">
        <f t="shared" ref="N83" si="181">(L83-K83)*M83</f>
        <v>0</v>
      </c>
      <c r="O83" s="84">
        <f>'HKL546'!F20</f>
        <v>6263.1</v>
      </c>
      <c r="P83" s="84">
        <f>'HKL546'!E20</f>
        <v>6694.1</v>
      </c>
      <c r="Q83" s="84">
        <f t="shared" si="166"/>
        <v>1</v>
      </c>
      <c r="R83" s="84">
        <f t="shared" ref="R83" si="182">(P83-O83)*Q83</f>
        <v>431</v>
      </c>
      <c r="S83" s="84">
        <f>'HKL546'!K20</f>
        <v>515.9</v>
      </c>
      <c r="T83" s="84">
        <f>'HKL546'!J20</f>
        <v>515.9</v>
      </c>
      <c r="U83" s="84">
        <f>'[1]April-18'!U20</f>
        <v>1</v>
      </c>
      <c r="V83" s="84">
        <f t="shared" ref="V83" si="183">(T83-S83)*U83</f>
        <v>0</v>
      </c>
      <c r="W83" s="84"/>
      <c r="X83" s="84"/>
      <c r="Y83" s="85">
        <f t="shared" ref="Y83" si="184">N83/30/I83</f>
        <v>0</v>
      </c>
      <c r="Z83" s="86"/>
      <c r="AA83" s="82" t="s">
        <v>265</v>
      </c>
    </row>
    <row r="84" spans="1:27" s="40" customFormat="1" ht="39.950000000000003" hidden="1" customHeight="1" x14ac:dyDescent="0.25">
      <c r="A84" s="49">
        <v>14</v>
      </c>
      <c r="B84" s="50" t="s">
        <v>43</v>
      </c>
      <c r="C84" s="56" t="str">
        <f t="shared" si="163"/>
        <v>HDKOTE/1714</v>
      </c>
      <c r="D84" s="51" t="s">
        <v>137</v>
      </c>
      <c r="E84" s="55" t="str">
        <f t="shared" ref="E84:F84" si="185">E83</f>
        <v>HKL546</v>
      </c>
      <c r="F84" s="50">
        <f t="shared" si="185"/>
        <v>0.88</v>
      </c>
      <c r="G84" s="49" t="s">
        <v>221</v>
      </c>
      <c r="H84" s="64" t="s">
        <v>222</v>
      </c>
      <c r="I84" s="49">
        <f t="shared" ref="I84:J84" si="186">I83</f>
        <v>3</v>
      </c>
      <c r="J84" s="49" t="str">
        <f t="shared" si="186"/>
        <v>LT 3</v>
      </c>
      <c r="K84" s="84">
        <f>'HKL546'!Q21</f>
        <v>7761.9</v>
      </c>
      <c r="L84" s="84">
        <f>'HKL546'!P21</f>
        <v>7761.9</v>
      </c>
      <c r="M84" s="84">
        <f>'[1]April-18'!M21</f>
        <v>1</v>
      </c>
      <c r="N84" s="84">
        <f t="shared" ref="N84:N86" si="187">(L84-K84)*M84</f>
        <v>0</v>
      </c>
      <c r="O84" s="84">
        <f>'HKL546'!F21</f>
        <v>6694.1</v>
      </c>
      <c r="P84" s="84">
        <f>'HKL546'!E21</f>
        <v>7079.5</v>
      </c>
      <c r="Q84" s="84">
        <f t="shared" si="166"/>
        <v>1</v>
      </c>
      <c r="R84" s="84">
        <f t="shared" ref="R84:R86" si="188">(P84-O84)*Q84</f>
        <v>385.39999999999964</v>
      </c>
      <c r="S84" s="84">
        <f>'HKL546'!K21</f>
        <v>515.9</v>
      </c>
      <c r="T84" s="84">
        <f>'HKL546'!J21</f>
        <v>515.9</v>
      </c>
      <c r="U84" s="84">
        <f>'[1]April-18'!U21</f>
        <v>1</v>
      </c>
      <c r="V84" s="84">
        <f t="shared" ref="V84:V86" si="189">(T84-S84)*U84</f>
        <v>0</v>
      </c>
      <c r="W84" s="84"/>
      <c r="X84" s="84"/>
      <c r="Y84" s="85">
        <f t="shared" ref="Y84:Y86" si="190">N84/30/I84</f>
        <v>0</v>
      </c>
      <c r="Z84" s="86"/>
      <c r="AA84" s="82"/>
    </row>
    <row r="85" spans="1:27" s="40" customFormat="1" ht="39.950000000000003" hidden="1" customHeight="1" x14ac:dyDescent="0.25">
      <c r="A85" s="49">
        <v>15</v>
      </c>
      <c r="B85" s="50" t="s">
        <v>43</v>
      </c>
      <c r="C85" s="56" t="str">
        <f t="shared" si="163"/>
        <v>HDKOTE/1714</v>
      </c>
      <c r="D85" s="51" t="s">
        <v>137</v>
      </c>
      <c r="E85" s="55" t="str">
        <f t="shared" ref="E85:F85" si="191">E84</f>
        <v>HKL546</v>
      </c>
      <c r="F85" s="50">
        <f t="shared" si="191"/>
        <v>0.88</v>
      </c>
      <c r="G85" s="49" t="s">
        <v>221</v>
      </c>
      <c r="H85" s="64" t="s">
        <v>222</v>
      </c>
      <c r="I85" s="49">
        <f t="shared" ref="I85:J85" si="192">I84</f>
        <v>3</v>
      </c>
      <c r="J85" s="49" t="str">
        <f t="shared" si="192"/>
        <v>LT 3</v>
      </c>
      <c r="K85" s="84">
        <f>'HKL546'!Q22</f>
        <v>7761.9</v>
      </c>
      <c r="L85" s="84">
        <f>'HKL546'!P22</f>
        <v>7942.9</v>
      </c>
      <c r="M85" s="84">
        <f>'[1]April-18'!M22</f>
        <v>1</v>
      </c>
      <c r="N85" s="84">
        <f t="shared" si="187"/>
        <v>181</v>
      </c>
      <c r="O85" s="84">
        <f>'HKL546'!F22</f>
        <v>7079.5</v>
      </c>
      <c r="P85" s="84">
        <f>'HKL546'!E22</f>
        <v>7509.2</v>
      </c>
      <c r="Q85" s="84">
        <f t="shared" si="166"/>
        <v>1</v>
      </c>
      <c r="R85" s="84">
        <f t="shared" si="188"/>
        <v>429.69999999999982</v>
      </c>
      <c r="S85" s="84">
        <f>'HKL546'!K22</f>
        <v>515.9</v>
      </c>
      <c r="T85" s="84">
        <f>'HKL546'!J22</f>
        <v>567.20000000000005</v>
      </c>
      <c r="U85" s="84">
        <f>'[1]April-18'!U22</f>
        <v>1</v>
      </c>
      <c r="V85" s="84">
        <f t="shared" si="189"/>
        <v>51.300000000000068</v>
      </c>
      <c r="W85" s="84"/>
      <c r="X85" s="84"/>
      <c r="Y85" s="85">
        <f t="shared" si="190"/>
        <v>2.0111111111111111</v>
      </c>
      <c r="Z85" s="86"/>
      <c r="AA85" s="82"/>
    </row>
    <row r="86" spans="1:27" s="40" customFormat="1" ht="39.950000000000003" hidden="1" customHeight="1" x14ac:dyDescent="0.25">
      <c r="A86" s="49">
        <v>16</v>
      </c>
      <c r="B86" s="50" t="s">
        <v>43</v>
      </c>
      <c r="C86" s="56" t="str">
        <f t="shared" si="163"/>
        <v>HDKOTE/1714</v>
      </c>
      <c r="D86" s="51" t="s">
        <v>137</v>
      </c>
      <c r="E86" s="55" t="str">
        <f t="shared" ref="E86:F87" si="193">E85</f>
        <v>HKL546</v>
      </c>
      <c r="F86" s="50">
        <f t="shared" si="193"/>
        <v>0.88</v>
      </c>
      <c r="G86" s="49" t="s">
        <v>221</v>
      </c>
      <c r="H86" s="64" t="s">
        <v>222</v>
      </c>
      <c r="I86" s="49">
        <f t="shared" ref="I86:J87" si="194">I85</f>
        <v>3</v>
      </c>
      <c r="J86" s="49" t="str">
        <f t="shared" si="194"/>
        <v>LT 3</v>
      </c>
      <c r="K86" s="84">
        <f>'HKL546'!Q23</f>
        <v>7942.9</v>
      </c>
      <c r="L86" s="84">
        <f>'HKL546'!P23</f>
        <v>8144.9</v>
      </c>
      <c r="M86" s="84">
        <f>'[1]April-18'!M23</f>
        <v>1</v>
      </c>
      <c r="N86" s="84">
        <f t="shared" si="187"/>
        <v>202</v>
      </c>
      <c r="O86" s="84">
        <f>'HKL546'!F23</f>
        <v>7509.2</v>
      </c>
      <c r="P86" s="84">
        <f>'HKL546'!E23</f>
        <v>7920.4</v>
      </c>
      <c r="Q86" s="84">
        <f t="shared" si="166"/>
        <v>1</v>
      </c>
      <c r="R86" s="84">
        <f t="shared" si="188"/>
        <v>411.19999999999982</v>
      </c>
      <c r="S86" s="84">
        <f>'HKL546'!K23</f>
        <v>567.20000000000005</v>
      </c>
      <c r="T86" s="84">
        <f>'HKL546'!J23</f>
        <v>618.79999999999995</v>
      </c>
      <c r="U86" s="84">
        <f>'[1]April-18'!U23</f>
        <v>1</v>
      </c>
      <c r="V86" s="84">
        <f t="shared" si="189"/>
        <v>51.599999999999909</v>
      </c>
      <c r="W86" s="84"/>
      <c r="X86" s="84"/>
      <c r="Y86" s="85">
        <f t="shared" si="190"/>
        <v>2.2444444444444445</v>
      </c>
      <c r="Z86" s="86"/>
      <c r="AA86" s="82"/>
    </row>
    <row r="87" spans="1:27" s="40" customFormat="1" ht="39.950000000000003" hidden="1" customHeight="1" x14ac:dyDescent="0.25">
      <c r="A87" s="93">
        <v>17</v>
      </c>
      <c r="B87" s="50" t="s">
        <v>43</v>
      </c>
      <c r="C87" s="56" t="str">
        <f t="shared" si="163"/>
        <v>HDKOTE/1714</v>
      </c>
      <c r="D87" s="51" t="s">
        <v>137</v>
      </c>
      <c r="E87" s="55" t="str">
        <f t="shared" si="193"/>
        <v>HKL546</v>
      </c>
      <c r="F87" s="50">
        <f t="shared" si="193"/>
        <v>0.88</v>
      </c>
      <c r="G87" s="49" t="s">
        <v>221</v>
      </c>
      <c r="H87" s="64" t="s">
        <v>222</v>
      </c>
      <c r="I87" s="49">
        <f t="shared" si="194"/>
        <v>3</v>
      </c>
      <c r="J87" s="49" t="str">
        <f t="shared" si="194"/>
        <v>LT 3</v>
      </c>
      <c r="K87" s="84">
        <f>'HKL546'!Q24</f>
        <v>8144.9</v>
      </c>
      <c r="L87" s="84">
        <f>'HKL546'!P24</f>
        <v>8369.4</v>
      </c>
      <c r="M87" s="84">
        <f>'[1]April-18'!M24</f>
        <v>1</v>
      </c>
      <c r="N87" s="84">
        <f t="shared" ref="N87:N88" si="195">(L87-K87)*M87</f>
        <v>224.5</v>
      </c>
      <c r="O87" s="84">
        <f>'HKL546'!F24</f>
        <v>7920.4</v>
      </c>
      <c r="P87" s="84">
        <f>'HKL546'!E24</f>
        <v>8293.5</v>
      </c>
      <c r="Q87" s="84">
        <f t="shared" si="166"/>
        <v>1</v>
      </c>
      <c r="R87" s="84">
        <f t="shared" ref="R87:R88" si="196">(P87-O87)*Q87</f>
        <v>373.10000000000036</v>
      </c>
      <c r="S87" s="84">
        <f>'HKL546'!K24</f>
        <v>618.79999999999995</v>
      </c>
      <c r="T87" s="84">
        <f>'HKL546'!J24</f>
        <v>677.8</v>
      </c>
      <c r="U87" s="84">
        <f>'[1]April-18'!U24</f>
        <v>1</v>
      </c>
      <c r="V87" s="84">
        <f t="shared" ref="V87:V88" si="197">(T87-S87)*U87</f>
        <v>59</v>
      </c>
      <c r="W87" s="84"/>
      <c r="X87" s="84"/>
      <c r="Y87" s="85">
        <f t="shared" ref="Y87:Y88" si="198">N87/30/I87</f>
        <v>2.4944444444444445</v>
      </c>
      <c r="Z87" s="86"/>
      <c r="AA87" s="82"/>
    </row>
    <row r="88" spans="1:27" s="40" customFormat="1" ht="39.950000000000003" hidden="1" customHeight="1" x14ac:dyDescent="0.25">
      <c r="A88" s="1">
        <v>18</v>
      </c>
      <c r="B88" s="50" t="s">
        <v>43</v>
      </c>
      <c r="C88" s="56" t="str">
        <f t="shared" si="163"/>
        <v>HDKOTE/1714</v>
      </c>
      <c r="D88" s="51" t="s">
        <v>137</v>
      </c>
      <c r="E88" s="55" t="str">
        <f t="shared" ref="E88:F88" si="199">E87</f>
        <v>HKL546</v>
      </c>
      <c r="F88" s="50">
        <f t="shared" si="199"/>
        <v>0.88</v>
      </c>
      <c r="G88" s="49" t="s">
        <v>221</v>
      </c>
      <c r="H88" s="64" t="s">
        <v>222</v>
      </c>
      <c r="I88" s="49">
        <f t="shared" ref="I88:J88" si="200">I87</f>
        <v>3</v>
      </c>
      <c r="J88" s="49" t="str">
        <f t="shared" si="200"/>
        <v>LT 3</v>
      </c>
      <c r="K88" s="84">
        <f>'HKL546'!Q25</f>
        <v>8369.4</v>
      </c>
      <c r="L88" s="84">
        <f>'HKL546'!P25</f>
        <v>8581.4</v>
      </c>
      <c r="M88" s="84">
        <f>'[1]April-18'!M25</f>
        <v>1</v>
      </c>
      <c r="N88" s="84">
        <f t="shared" si="195"/>
        <v>212</v>
      </c>
      <c r="O88" s="84">
        <f>'HKL546'!F25</f>
        <v>8293.5</v>
      </c>
      <c r="P88" s="84">
        <f>'HKL546'!E25</f>
        <v>8682.4</v>
      </c>
      <c r="Q88" s="84">
        <f t="shared" si="166"/>
        <v>1</v>
      </c>
      <c r="R88" s="84">
        <f t="shared" si="196"/>
        <v>388.89999999999964</v>
      </c>
      <c r="S88" s="84">
        <f>'HKL546'!K25</f>
        <v>677.8</v>
      </c>
      <c r="T88" s="84">
        <f>'HKL546'!J25</f>
        <v>699</v>
      </c>
      <c r="U88" s="84">
        <f>'[1]April-18'!U25</f>
        <v>1</v>
      </c>
      <c r="V88" s="84">
        <f t="shared" si="197"/>
        <v>21.200000000000045</v>
      </c>
      <c r="W88" s="84"/>
      <c r="X88" s="84"/>
      <c r="Y88" s="85">
        <f t="shared" si="198"/>
        <v>2.3555555555555556</v>
      </c>
      <c r="Z88" s="86"/>
      <c r="AA88" s="82"/>
    </row>
    <row r="89" spans="1:27" s="40" customFormat="1" ht="39.950000000000003" hidden="1" customHeight="1" x14ac:dyDescent="0.25">
      <c r="A89" s="95">
        <v>19</v>
      </c>
      <c r="B89" s="50" t="s">
        <v>43</v>
      </c>
      <c r="C89" s="56" t="str">
        <f t="shared" si="163"/>
        <v>HDKOTE/1714</v>
      </c>
      <c r="D89" s="51" t="s">
        <v>137</v>
      </c>
      <c r="E89" s="55" t="str">
        <f t="shared" ref="E89:F89" si="201">E88</f>
        <v>HKL546</v>
      </c>
      <c r="F89" s="50">
        <f t="shared" si="201"/>
        <v>0.88</v>
      </c>
      <c r="G89" s="49" t="s">
        <v>221</v>
      </c>
      <c r="H89" s="64" t="s">
        <v>222</v>
      </c>
      <c r="I89" s="49">
        <f t="shared" ref="I89:J89" si="202">I88</f>
        <v>3</v>
      </c>
      <c r="J89" s="49" t="str">
        <f t="shared" si="202"/>
        <v>LT 3</v>
      </c>
      <c r="K89" s="84">
        <f>'HKL546'!Q26</f>
        <v>8581.4</v>
      </c>
      <c r="L89" s="84">
        <f>'HKL546'!P26</f>
        <v>8608.7000000000007</v>
      </c>
      <c r="M89" s="84">
        <f t="shared" ref="M89:M101" si="203">M88</f>
        <v>1</v>
      </c>
      <c r="N89" s="84">
        <f t="shared" ref="N89" si="204">(L89-K89)*M89</f>
        <v>27.300000000001091</v>
      </c>
      <c r="O89" s="84">
        <f>'HKL546'!F26</f>
        <v>8682.4</v>
      </c>
      <c r="P89" s="84">
        <f>'HKL546'!E26</f>
        <v>9049.2000000000007</v>
      </c>
      <c r="Q89" s="84">
        <f t="shared" si="166"/>
        <v>1</v>
      </c>
      <c r="R89" s="84">
        <f t="shared" ref="R89" si="205">(P89-O89)*Q89</f>
        <v>366.80000000000109</v>
      </c>
      <c r="S89" s="84">
        <f>'HKL546'!K26</f>
        <v>699</v>
      </c>
      <c r="T89" s="84">
        <f>'HKL546'!J26</f>
        <v>720.4</v>
      </c>
      <c r="U89" s="84">
        <f t="shared" ref="U89:U101" si="206">U88</f>
        <v>1</v>
      </c>
      <c r="V89" s="84">
        <f t="shared" ref="V89" si="207">(T89-S89)*U89</f>
        <v>21.399999999999977</v>
      </c>
      <c r="W89" s="84"/>
      <c r="X89" s="84"/>
      <c r="Y89" s="85">
        <f t="shared" ref="Y89" si="208">N89/30/I89</f>
        <v>0.30333333333334545</v>
      </c>
      <c r="Z89" s="86"/>
      <c r="AA89" s="82"/>
    </row>
    <row r="90" spans="1:27" s="40" customFormat="1" ht="39.950000000000003" hidden="1" customHeight="1" x14ac:dyDescent="0.25">
      <c r="A90" s="49">
        <v>20</v>
      </c>
      <c r="B90" s="50" t="s">
        <v>43</v>
      </c>
      <c r="C90" s="56" t="str">
        <f t="shared" si="163"/>
        <v>HDKOTE/1714</v>
      </c>
      <c r="D90" s="51" t="s">
        <v>137</v>
      </c>
      <c r="E90" s="55" t="str">
        <f t="shared" ref="E90:F90" si="209">E89</f>
        <v>HKL546</v>
      </c>
      <c r="F90" s="50">
        <f t="shared" si="209"/>
        <v>0.88</v>
      </c>
      <c r="G90" s="49" t="s">
        <v>221</v>
      </c>
      <c r="H90" s="64" t="s">
        <v>222</v>
      </c>
      <c r="I90" s="49">
        <f t="shared" ref="I90:J90" si="210">I89</f>
        <v>3</v>
      </c>
      <c r="J90" s="49" t="str">
        <f t="shared" si="210"/>
        <v>LT 3</v>
      </c>
      <c r="K90" s="84">
        <f>'HKL546'!Q27</f>
        <v>8608.7000000000007</v>
      </c>
      <c r="L90" s="84">
        <f>'HKL546'!P27</f>
        <v>8726.2000000000007</v>
      </c>
      <c r="M90" s="84">
        <f t="shared" si="203"/>
        <v>1</v>
      </c>
      <c r="N90" s="84">
        <f t="shared" ref="N90:N91" si="211">(L90-K90)*M90</f>
        <v>117.5</v>
      </c>
      <c r="O90" s="84">
        <f>'HKL546'!F27</f>
        <v>9049.2000000000007</v>
      </c>
      <c r="P90" s="84">
        <f>'HKL546'!E27</f>
        <v>9440.2000000000007</v>
      </c>
      <c r="Q90" s="84">
        <f t="shared" si="166"/>
        <v>1</v>
      </c>
      <c r="R90" s="84">
        <f t="shared" ref="R90:R91" si="212">(P90-O90)*Q90</f>
        <v>391</v>
      </c>
      <c r="S90" s="84">
        <f>'HKL546'!K27</f>
        <v>720.4</v>
      </c>
      <c r="T90" s="84">
        <f>'HKL546'!J27</f>
        <v>735.1</v>
      </c>
      <c r="U90" s="84">
        <f t="shared" si="206"/>
        <v>1</v>
      </c>
      <c r="V90" s="84">
        <f t="shared" ref="V90:V91" si="213">(T90-S90)*U90</f>
        <v>14.700000000000045</v>
      </c>
      <c r="W90" s="84"/>
      <c r="X90" s="84"/>
      <c r="Y90" s="85">
        <f t="shared" ref="Y90:Y91" si="214">N90/30/I90</f>
        <v>1.3055555555555556</v>
      </c>
      <c r="Z90" s="86"/>
      <c r="AA90" s="82"/>
    </row>
    <row r="91" spans="1:27" s="40" customFormat="1" ht="39.950000000000003" hidden="1" customHeight="1" x14ac:dyDescent="0.25">
      <c r="A91" s="49">
        <v>21</v>
      </c>
      <c r="B91" s="50" t="s">
        <v>43</v>
      </c>
      <c r="C91" s="56" t="str">
        <f t="shared" si="163"/>
        <v>HDKOTE/1714</v>
      </c>
      <c r="D91" s="51" t="s">
        <v>137</v>
      </c>
      <c r="E91" s="55" t="str">
        <f t="shared" ref="E91:F91" si="215">E90</f>
        <v>HKL546</v>
      </c>
      <c r="F91" s="50">
        <f t="shared" si="215"/>
        <v>0.88</v>
      </c>
      <c r="G91" s="49" t="s">
        <v>221</v>
      </c>
      <c r="H91" s="64" t="s">
        <v>222</v>
      </c>
      <c r="I91" s="49">
        <f t="shared" ref="I91:J91" si="216">I90</f>
        <v>3</v>
      </c>
      <c r="J91" s="49" t="str">
        <f t="shared" si="216"/>
        <v>LT 3</v>
      </c>
      <c r="K91" s="84">
        <f>'HKL546'!Q28</f>
        <v>8726.2000000000007</v>
      </c>
      <c r="L91" s="84">
        <f>'HKL546'!P28</f>
        <v>8890.7999999999993</v>
      </c>
      <c r="M91" s="84">
        <f t="shared" si="203"/>
        <v>1</v>
      </c>
      <c r="N91" s="84">
        <f t="shared" si="211"/>
        <v>164.59999999999854</v>
      </c>
      <c r="O91" s="84">
        <f>'HKL546'!F28</f>
        <v>9440.2000000000007</v>
      </c>
      <c r="P91" s="84">
        <f>'HKL546'!E28</f>
        <v>9787.2000000000007</v>
      </c>
      <c r="Q91" s="84">
        <f t="shared" si="166"/>
        <v>1</v>
      </c>
      <c r="R91" s="84">
        <f t="shared" si="212"/>
        <v>347</v>
      </c>
      <c r="S91" s="84">
        <f>'HKL546'!K28</f>
        <v>735.1</v>
      </c>
      <c r="T91" s="84">
        <f>'HKL546'!J28</f>
        <v>767</v>
      </c>
      <c r="U91" s="84">
        <f t="shared" si="206"/>
        <v>1</v>
      </c>
      <c r="V91" s="84">
        <f t="shared" si="213"/>
        <v>31.899999999999977</v>
      </c>
      <c r="W91" s="84"/>
      <c r="X91" s="84"/>
      <c r="Y91" s="85">
        <f t="shared" si="214"/>
        <v>1.8288888888888728</v>
      </c>
      <c r="Z91" s="86"/>
      <c r="AA91" s="82"/>
    </row>
    <row r="92" spans="1:27" s="40" customFormat="1" ht="39.950000000000003" hidden="1" customHeight="1" x14ac:dyDescent="0.25">
      <c r="A92" s="49">
        <v>22</v>
      </c>
      <c r="B92" s="50" t="s">
        <v>43</v>
      </c>
      <c r="C92" s="56" t="str">
        <f t="shared" si="163"/>
        <v>HDKOTE/1714</v>
      </c>
      <c r="D92" s="51" t="s">
        <v>137</v>
      </c>
      <c r="E92" s="55" t="str">
        <f t="shared" ref="E92:F92" si="217">E91</f>
        <v>HKL546</v>
      </c>
      <c r="F92" s="50">
        <f t="shared" si="217"/>
        <v>0.88</v>
      </c>
      <c r="G92" s="49" t="s">
        <v>221</v>
      </c>
      <c r="H92" s="64" t="s">
        <v>222</v>
      </c>
      <c r="I92" s="49">
        <f t="shared" ref="I92:J92" si="218">I91</f>
        <v>3</v>
      </c>
      <c r="J92" s="49" t="str">
        <f t="shared" si="218"/>
        <v>LT 3</v>
      </c>
      <c r="K92" s="84">
        <f>'HKL546'!Q29</f>
        <v>8890.7999999999993</v>
      </c>
      <c r="L92" s="84">
        <f>'HKL546'!P29</f>
        <v>9093.2000000000007</v>
      </c>
      <c r="M92" s="84">
        <f t="shared" si="203"/>
        <v>1</v>
      </c>
      <c r="N92" s="84">
        <f t="shared" ref="N92:N93" si="219">(L92-K92)*M92</f>
        <v>202.40000000000146</v>
      </c>
      <c r="O92" s="84">
        <f>'HKL546'!F29</f>
        <v>9787.2000000000007</v>
      </c>
      <c r="P92" s="84">
        <f>'HKL546'!E29</f>
        <v>10241.6</v>
      </c>
      <c r="Q92" s="84">
        <f t="shared" si="166"/>
        <v>1</v>
      </c>
      <c r="R92" s="84">
        <f t="shared" ref="R92:R93" si="220">(P92-O92)*Q92</f>
        <v>454.39999999999964</v>
      </c>
      <c r="S92" s="84">
        <f>'HKL546'!K29</f>
        <v>767</v>
      </c>
      <c r="T92" s="84">
        <f>'HKL546'!J29</f>
        <v>795.4</v>
      </c>
      <c r="U92" s="84">
        <f t="shared" si="206"/>
        <v>1</v>
      </c>
      <c r="V92" s="84">
        <f t="shared" ref="V92:V93" si="221">(T92-S92)*U92</f>
        <v>28.399999999999977</v>
      </c>
      <c r="W92" s="84"/>
      <c r="X92" s="84"/>
      <c r="Y92" s="85">
        <f t="shared" ref="Y92:Y93" si="222">N92/30/I92</f>
        <v>2.2488888888889051</v>
      </c>
      <c r="Z92" s="86"/>
      <c r="AA92" s="82"/>
    </row>
    <row r="93" spans="1:27" s="40" customFormat="1" ht="39.950000000000003" hidden="1" customHeight="1" x14ac:dyDescent="0.25">
      <c r="A93" s="49">
        <v>23</v>
      </c>
      <c r="B93" s="50" t="s">
        <v>43</v>
      </c>
      <c r="C93" s="56" t="str">
        <f t="shared" si="163"/>
        <v>HDKOTE/1714</v>
      </c>
      <c r="D93" s="51" t="s">
        <v>137</v>
      </c>
      <c r="E93" s="55" t="str">
        <f t="shared" ref="E93:F93" si="223">E92</f>
        <v>HKL546</v>
      </c>
      <c r="F93" s="50">
        <f t="shared" si="223"/>
        <v>0.88</v>
      </c>
      <c r="G93" s="49" t="s">
        <v>221</v>
      </c>
      <c r="H93" s="64" t="s">
        <v>222</v>
      </c>
      <c r="I93" s="49">
        <f t="shared" ref="I93:J93" si="224">I92</f>
        <v>3</v>
      </c>
      <c r="J93" s="49" t="str">
        <f t="shared" si="224"/>
        <v>LT 3</v>
      </c>
      <c r="K93" s="84">
        <f>'HKL546'!Q31</f>
        <v>9093.2000000000007</v>
      </c>
      <c r="L93" s="84">
        <f>'HKL546'!P31</f>
        <v>9308.2000000000007</v>
      </c>
      <c r="M93" s="84">
        <f t="shared" si="203"/>
        <v>1</v>
      </c>
      <c r="N93" s="84">
        <f t="shared" si="219"/>
        <v>215</v>
      </c>
      <c r="O93" s="84">
        <f>'HKL546'!F31</f>
        <v>10241.6</v>
      </c>
      <c r="P93" s="84">
        <f>'HKL546'!E31</f>
        <v>10691.6</v>
      </c>
      <c r="Q93" s="84">
        <f t="shared" si="166"/>
        <v>1</v>
      </c>
      <c r="R93" s="84">
        <f t="shared" si="220"/>
        <v>450</v>
      </c>
      <c r="S93" s="84">
        <f>'HKL546'!K31</f>
        <v>795.4</v>
      </c>
      <c r="T93" s="84">
        <f>'HKL546'!J31</f>
        <v>819.4</v>
      </c>
      <c r="U93" s="84">
        <f t="shared" si="206"/>
        <v>1</v>
      </c>
      <c r="V93" s="84">
        <f t="shared" si="221"/>
        <v>24</v>
      </c>
      <c r="W93" s="84"/>
      <c r="X93" s="84"/>
      <c r="Y93" s="85">
        <f t="shared" si="222"/>
        <v>2.3888888888888888</v>
      </c>
      <c r="Z93" s="86"/>
      <c r="AA93" s="82"/>
    </row>
    <row r="94" spans="1:27" s="40" customFormat="1" ht="39.950000000000003" hidden="1" customHeight="1" x14ac:dyDescent="0.25">
      <c r="A94" s="49">
        <v>24</v>
      </c>
      <c r="B94" s="50" t="s">
        <v>43</v>
      </c>
      <c r="C94" s="56" t="str">
        <f t="shared" si="163"/>
        <v>HDKOTE/1714</v>
      </c>
      <c r="D94" s="51" t="s">
        <v>137</v>
      </c>
      <c r="E94" s="55" t="str">
        <f t="shared" ref="E94:F94" si="225">E93</f>
        <v>HKL546</v>
      </c>
      <c r="F94" s="50">
        <f t="shared" si="225"/>
        <v>0.88</v>
      </c>
      <c r="G94" s="49" t="s">
        <v>221</v>
      </c>
      <c r="H94" s="64" t="s">
        <v>222</v>
      </c>
      <c r="I94" s="49">
        <f t="shared" ref="I94:J94" si="226">I93</f>
        <v>3</v>
      </c>
      <c r="J94" s="49" t="str">
        <f t="shared" si="226"/>
        <v>LT 3</v>
      </c>
      <c r="K94" s="84">
        <f>'HKL546'!Q32</f>
        <v>9308.2000000000007</v>
      </c>
      <c r="L94" s="84">
        <f>'HKL546'!P32</f>
        <v>9479.4</v>
      </c>
      <c r="M94" s="84">
        <f t="shared" si="203"/>
        <v>1</v>
      </c>
      <c r="N94" s="84">
        <f t="shared" ref="N94:N98" si="227">(L94-K94)*M94</f>
        <v>171.19999999999891</v>
      </c>
      <c r="O94" s="84">
        <f>'HKL546'!F32</f>
        <v>10691.6</v>
      </c>
      <c r="P94" s="84">
        <f>'HKL546'!E32</f>
        <v>11135.9</v>
      </c>
      <c r="Q94" s="84">
        <f t="shared" si="166"/>
        <v>1</v>
      </c>
      <c r="R94" s="84">
        <f t="shared" ref="R94:R98" si="228">(P94-O94)*Q94</f>
        <v>444.29999999999927</v>
      </c>
      <c r="S94" s="84">
        <f>'HKL546'!K32</f>
        <v>819.4</v>
      </c>
      <c r="T94" s="84">
        <f>'HKL546'!J32</f>
        <v>857.2</v>
      </c>
      <c r="U94" s="84">
        <f t="shared" si="206"/>
        <v>1</v>
      </c>
      <c r="V94" s="84">
        <f t="shared" ref="V94:V98" si="229">(T94-S94)*U94</f>
        <v>37.800000000000068</v>
      </c>
      <c r="W94" s="84"/>
      <c r="X94" s="84"/>
      <c r="Y94" s="85">
        <f t="shared" ref="Y94:Y98" si="230">N94/30/I94</f>
        <v>1.9022222222222103</v>
      </c>
      <c r="Z94" s="86"/>
      <c r="AA94" s="82"/>
    </row>
    <row r="95" spans="1:27" s="40" customFormat="1" ht="39.950000000000003" hidden="1" customHeight="1" x14ac:dyDescent="0.25">
      <c r="A95" s="49">
        <v>25</v>
      </c>
      <c r="B95" s="50" t="s">
        <v>43</v>
      </c>
      <c r="C95" s="56" t="str">
        <f t="shared" si="163"/>
        <v>HDKOTE/1714</v>
      </c>
      <c r="D95" s="51" t="s">
        <v>137</v>
      </c>
      <c r="E95" s="55" t="str">
        <f t="shared" ref="E95:F95" si="231">E94</f>
        <v>HKL546</v>
      </c>
      <c r="F95" s="50">
        <f t="shared" si="231"/>
        <v>0.88</v>
      </c>
      <c r="G95" s="49" t="s">
        <v>221</v>
      </c>
      <c r="H95" s="64" t="s">
        <v>222</v>
      </c>
      <c r="I95" s="49">
        <f t="shared" ref="I95:J95" si="232">I94</f>
        <v>3</v>
      </c>
      <c r="J95" s="49" t="str">
        <f t="shared" si="232"/>
        <v>LT 3</v>
      </c>
      <c r="K95" s="84">
        <f>'HKL546'!Q33</f>
        <v>9479.4</v>
      </c>
      <c r="L95" s="84">
        <f>'HKL546'!P33</f>
        <v>9659</v>
      </c>
      <c r="M95" s="84">
        <f t="shared" si="203"/>
        <v>1</v>
      </c>
      <c r="N95" s="84">
        <f t="shared" si="227"/>
        <v>179.60000000000036</v>
      </c>
      <c r="O95" s="84">
        <f>'HKL546'!F33</f>
        <v>11135.9</v>
      </c>
      <c r="P95" s="84">
        <f>'HKL546'!E33</f>
        <v>11507.5</v>
      </c>
      <c r="Q95" s="84">
        <f t="shared" si="166"/>
        <v>1</v>
      </c>
      <c r="R95" s="84">
        <f t="shared" si="228"/>
        <v>371.60000000000036</v>
      </c>
      <c r="S95" s="84">
        <f>'HKL546'!K33</f>
        <v>857.2</v>
      </c>
      <c r="T95" s="84">
        <f>'HKL546'!J33</f>
        <v>888.5</v>
      </c>
      <c r="U95" s="84">
        <f t="shared" si="206"/>
        <v>1</v>
      </c>
      <c r="V95" s="84">
        <f t="shared" si="229"/>
        <v>31.299999999999955</v>
      </c>
      <c r="W95" s="84"/>
      <c r="X95" s="84"/>
      <c r="Y95" s="85">
        <f t="shared" si="230"/>
        <v>1.9955555555555595</v>
      </c>
      <c r="Z95" s="86"/>
      <c r="AA95" s="82"/>
    </row>
    <row r="96" spans="1:27" s="40" customFormat="1" ht="39.950000000000003" hidden="1" customHeight="1" x14ac:dyDescent="0.25">
      <c r="A96" s="49">
        <v>26</v>
      </c>
      <c r="B96" s="50" t="s">
        <v>43</v>
      </c>
      <c r="C96" s="56" t="str">
        <f t="shared" si="163"/>
        <v>HDKOTE/1714</v>
      </c>
      <c r="D96" s="51" t="s">
        <v>137</v>
      </c>
      <c r="E96" s="55" t="str">
        <f t="shared" ref="E96:F96" si="233">E95</f>
        <v>HKL546</v>
      </c>
      <c r="F96" s="50">
        <f t="shared" si="233"/>
        <v>0.88</v>
      </c>
      <c r="G96" s="49" t="s">
        <v>221</v>
      </c>
      <c r="H96" s="64" t="s">
        <v>222</v>
      </c>
      <c r="I96" s="49">
        <f t="shared" ref="I96:J96" si="234">I95</f>
        <v>3</v>
      </c>
      <c r="J96" s="49" t="str">
        <f t="shared" si="234"/>
        <v>LT 3</v>
      </c>
      <c r="K96" s="84">
        <f>'HKL546'!Q34</f>
        <v>9659</v>
      </c>
      <c r="L96" s="84">
        <f>'HKL546'!P34</f>
        <v>9824.5</v>
      </c>
      <c r="M96" s="84">
        <f t="shared" si="203"/>
        <v>1</v>
      </c>
      <c r="N96" s="84">
        <f t="shared" si="227"/>
        <v>165.5</v>
      </c>
      <c r="O96" s="84">
        <f>'HKL546'!F34</f>
        <v>11507.5</v>
      </c>
      <c r="P96" s="84">
        <f>'HKL546'!E34</f>
        <v>11946.2</v>
      </c>
      <c r="Q96" s="84">
        <f t="shared" si="166"/>
        <v>1</v>
      </c>
      <c r="R96" s="84">
        <f t="shared" si="228"/>
        <v>438.70000000000073</v>
      </c>
      <c r="S96" s="84">
        <f>'HKL546'!K34</f>
        <v>888.5</v>
      </c>
      <c r="T96" s="84">
        <f>'HKL546'!J34</f>
        <v>907.5</v>
      </c>
      <c r="U96" s="84">
        <f t="shared" si="206"/>
        <v>1</v>
      </c>
      <c r="V96" s="84">
        <f t="shared" si="229"/>
        <v>19</v>
      </c>
      <c r="W96" s="84"/>
      <c r="X96" s="84"/>
      <c r="Y96" s="85">
        <f t="shared" si="230"/>
        <v>1.8388888888888888</v>
      </c>
      <c r="Z96" s="86"/>
      <c r="AA96" s="82"/>
    </row>
    <row r="97" spans="1:28" s="40" customFormat="1" ht="39.950000000000003" hidden="1" customHeight="1" x14ac:dyDescent="0.25">
      <c r="A97" s="49">
        <v>27</v>
      </c>
      <c r="B97" s="50" t="s">
        <v>43</v>
      </c>
      <c r="C97" s="56" t="str">
        <f t="shared" si="163"/>
        <v>HDKOTE/1714</v>
      </c>
      <c r="D97" s="51" t="s">
        <v>137</v>
      </c>
      <c r="E97" s="55" t="str">
        <f t="shared" ref="E97:F97" si="235">E96</f>
        <v>HKL546</v>
      </c>
      <c r="F97" s="50">
        <f t="shared" si="235"/>
        <v>0.88</v>
      </c>
      <c r="G97" s="49" t="s">
        <v>221</v>
      </c>
      <c r="H97" s="64" t="s">
        <v>222</v>
      </c>
      <c r="I97" s="49">
        <f t="shared" ref="I97:J97" si="236">I96</f>
        <v>3</v>
      </c>
      <c r="J97" s="49" t="str">
        <f t="shared" si="236"/>
        <v>LT 3</v>
      </c>
      <c r="K97" s="84">
        <f>'HKL546'!Q35</f>
        <v>9824.5</v>
      </c>
      <c r="L97" s="84">
        <f>'HKL546'!P35</f>
        <v>9984.5</v>
      </c>
      <c r="M97" s="84">
        <f t="shared" si="203"/>
        <v>1</v>
      </c>
      <c r="N97" s="84">
        <f t="shared" si="227"/>
        <v>160</v>
      </c>
      <c r="O97" s="84">
        <f>'HKL546'!F35</f>
        <v>11946.2</v>
      </c>
      <c r="P97" s="84">
        <f>'HKL546'!E35</f>
        <v>12374.5</v>
      </c>
      <c r="Q97" s="84">
        <f t="shared" si="166"/>
        <v>1</v>
      </c>
      <c r="R97" s="84">
        <f t="shared" si="228"/>
        <v>428.29999999999927</v>
      </c>
      <c r="S97" s="84">
        <f>'HKL546'!K35</f>
        <v>907.5</v>
      </c>
      <c r="T97" s="84">
        <f>'HKL546'!J35</f>
        <v>930.9</v>
      </c>
      <c r="U97" s="84">
        <f t="shared" si="206"/>
        <v>1</v>
      </c>
      <c r="V97" s="84">
        <f t="shared" si="229"/>
        <v>23.399999999999977</v>
      </c>
      <c r="W97" s="84"/>
      <c r="X97" s="84"/>
      <c r="Y97" s="85">
        <f t="shared" si="230"/>
        <v>1.7777777777777777</v>
      </c>
      <c r="Z97" s="86"/>
      <c r="AA97" s="82"/>
    </row>
    <row r="98" spans="1:28" s="40" customFormat="1" ht="39.950000000000003" hidden="1" customHeight="1" x14ac:dyDescent="0.25">
      <c r="A98" s="49">
        <v>28</v>
      </c>
      <c r="B98" s="50" t="s">
        <v>43</v>
      </c>
      <c r="C98" s="56" t="str">
        <f t="shared" si="163"/>
        <v>HDKOTE/1714</v>
      </c>
      <c r="D98" s="51" t="s">
        <v>137</v>
      </c>
      <c r="E98" s="55" t="str">
        <f t="shared" ref="E98:F100" si="237">E97</f>
        <v>HKL546</v>
      </c>
      <c r="F98" s="50">
        <f t="shared" si="237"/>
        <v>0.88</v>
      </c>
      <c r="G98" s="49" t="s">
        <v>221</v>
      </c>
      <c r="H98" s="64" t="s">
        <v>222</v>
      </c>
      <c r="I98" s="49">
        <f t="shared" ref="I98:J100" si="238">I97</f>
        <v>3</v>
      </c>
      <c r="J98" s="49" t="str">
        <f t="shared" si="238"/>
        <v>LT 3</v>
      </c>
      <c r="K98" s="84">
        <f>'HKL546'!Q36</f>
        <v>9984.5</v>
      </c>
      <c r="L98" s="84">
        <f>'HKL546'!P36</f>
        <v>10174.299999999999</v>
      </c>
      <c r="M98" s="84">
        <f t="shared" si="203"/>
        <v>1</v>
      </c>
      <c r="N98" s="84">
        <f t="shared" si="227"/>
        <v>189.79999999999927</v>
      </c>
      <c r="O98" s="84">
        <f>'HKL546'!F36</f>
        <v>12374.5</v>
      </c>
      <c r="P98" s="84">
        <f>'HKL546'!E36</f>
        <v>12754.4</v>
      </c>
      <c r="Q98" s="84">
        <f t="shared" si="166"/>
        <v>1</v>
      </c>
      <c r="R98" s="84">
        <f t="shared" si="228"/>
        <v>379.89999999999964</v>
      </c>
      <c r="S98" s="84">
        <f>'HKL546'!K36</f>
        <v>930.9</v>
      </c>
      <c r="T98" s="84">
        <f>'HKL546'!J36</f>
        <v>971.3</v>
      </c>
      <c r="U98" s="84">
        <f t="shared" si="206"/>
        <v>1</v>
      </c>
      <c r="V98" s="84">
        <f t="shared" si="229"/>
        <v>40.399999999999977</v>
      </c>
      <c r="W98" s="84">
        <f>'HKL546'!U36</f>
        <v>2.81</v>
      </c>
      <c r="X98" s="84">
        <f>'HKL546'!V36</f>
        <v>0.9</v>
      </c>
      <c r="Y98" s="85">
        <f t="shared" si="230"/>
        <v>2.1088888888888806</v>
      </c>
      <c r="Z98" s="86"/>
      <c r="AA98" s="82"/>
    </row>
    <row r="99" spans="1:28" s="40" customFormat="1" ht="39.950000000000003" hidden="1" customHeight="1" x14ac:dyDescent="0.25">
      <c r="A99" s="49">
        <v>29</v>
      </c>
      <c r="B99" s="50" t="s">
        <v>43</v>
      </c>
      <c r="C99" s="56" t="str">
        <f t="shared" si="163"/>
        <v>HDKOTE/1714</v>
      </c>
      <c r="D99" s="51" t="s">
        <v>137</v>
      </c>
      <c r="E99" s="55" t="str">
        <f t="shared" ref="E99:F99" si="239">E98</f>
        <v>HKL546</v>
      </c>
      <c r="F99" s="50">
        <f t="shared" si="239"/>
        <v>0.88</v>
      </c>
      <c r="G99" s="49" t="s">
        <v>221</v>
      </c>
      <c r="H99" s="64" t="s">
        <v>222</v>
      </c>
      <c r="I99" s="49">
        <f t="shared" ref="I99:J99" si="240">I98</f>
        <v>3</v>
      </c>
      <c r="J99" s="49" t="str">
        <f t="shared" si="240"/>
        <v>LT 3</v>
      </c>
      <c r="K99" s="84">
        <f>'HKL546'!Q37</f>
        <v>10174.299999999999</v>
      </c>
      <c r="L99" s="84">
        <f>'HKL546'!P37</f>
        <v>10374.4</v>
      </c>
      <c r="M99" s="84">
        <f t="shared" si="203"/>
        <v>1</v>
      </c>
      <c r="N99" s="84">
        <f t="shared" ref="N99:N101" si="241">(L99-K99)*M99</f>
        <v>200.10000000000036</v>
      </c>
      <c r="O99" s="84">
        <f>'HKL546'!F37</f>
        <v>12754.4</v>
      </c>
      <c r="P99" s="84">
        <f>'HKL546'!E37</f>
        <v>13142.7</v>
      </c>
      <c r="Q99" s="84">
        <f t="shared" si="166"/>
        <v>1</v>
      </c>
      <c r="R99" s="84">
        <f t="shared" ref="R99:R101" si="242">(P99-O99)*Q99</f>
        <v>388.30000000000109</v>
      </c>
      <c r="S99" s="84">
        <f>'HKL546'!K37</f>
        <v>971.3</v>
      </c>
      <c r="T99" s="84">
        <f>'HKL546'!J37</f>
        <v>1007.8</v>
      </c>
      <c r="U99" s="84">
        <f t="shared" si="206"/>
        <v>1</v>
      </c>
      <c r="V99" s="84">
        <f t="shared" ref="V99:V101" si="243">(T99-S99)*U99</f>
        <v>36.5</v>
      </c>
      <c r="W99" s="84">
        <f>'HKL546'!U37</f>
        <v>1.7</v>
      </c>
      <c r="X99" s="84">
        <f>'HKL546'!V37</f>
        <v>0.89</v>
      </c>
      <c r="Y99" s="85">
        <f t="shared" ref="Y99:Y101" si="244">N99/30/I99</f>
        <v>2.2233333333333376</v>
      </c>
      <c r="Z99" s="86"/>
      <c r="AA99" s="82"/>
    </row>
    <row r="100" spans="1:28" s="40" customFormat="1" ht="39.950000000000003" customHeight="1" x14ac:dyDescent="0.25">
      <c r="A100" s="49">
        <v>30</v>
      </c>
      <c r="B100" s="50" t="s">
        <v>43</v>
      </c>
      <c r="C100" s="56" t="str">
        <f t="shared" si="163"/>
        <v>HDKOTE/1714</v>
      </c>
      <c r="D100" s="51" t="s">
        <v>137</v>
      </c>
      <c r="E100" s="55" t="str">
        <f t="shared" si="237"/>
        <v>HKL546</v>
      </c>
      <c r="F100" s="50">
        <f t="shared" si="237"/>
        <v>0.88</v>
      </c>
      <c r="G100" s="49" t="s">
        <v>221</v>
      </c>
      <c r="H100" s="64" t="s">
        <v>222</v>
      </c>
      <c r="I100" s="49">
        <f t="shared" si="238"/>
        <v>3</v>
      </c>
      <c r="J100" s="49" t="str">
        <f t="shared" si="238"/>
        <v>LT 3</v>
      </c>
      <c r="K100" s="84">
        <f>'HKL546'!Q38</f>
        <v>10374.4</v>
      </c>
      <c r="L100" s="84">
        <f>'HKL546'!P38</f>
        <v>10454.5</v>
      </c>
      <c r="M100" s="84">
        <f t="shared" si="203"/>
        <v>1</v>
      </c>
      <c r="N100" s="84">
        <f t="shared" si="241"/>
        <v>80.100000000000364</v>
      </c>
      <c r="O100" s="84">
        <f>'HKL546'!F38</f>
        <v>13142.7</v>
      </c>
      <c r="P100" s="84">
        <f>'HKL546'!E38</f>
        <v>13529.7</v>
      </c>
      <c r="Q100" s="84">
        <f t="shared" si="166"/>
        <v>1</v>
      </c>
      <c r="R100" s="84">
        <f t="shared" si="242"/>
        <v>387</v>
      </c>
      <c r="S100" s="84">
        <f>'HKL546'!K38</f>
        <v>1007.8</v>
      </c>
      <c r="T100" s="84">
        <f>'HKL546'!J38</f>
        <v>1016.2</v>
      </c>
      <c r="U100" s="84">
        <f t="shared" si="206"/>
        <v>1</v>
      </c>
      <c r="V100" s="84">
        <f t="shared" si="243"/>
        <v>8.4000000000000909</v>
      </c>
      <c r="W100" s="84">
        <f>'HKL546'!U38</f>
        <v>2.12</v>
      </c>
      <c r="X100" s="84">
        <f>'HKL546'!V38</f>
        <v>0.92</v>
      </c>
      <c r="Y100" s="85">
        <f t="shared" si="244"/>
        <v>0.89000000000000401</v>
      </c>
      <c r="Z100" s="86"/>
      <c r="AA100" s="82"/>
    </row>
    <row r="101" spans="1:28" s="40" customFormat="1" ht="39.950000000000003" hidden="1" customHeight="1" x14ac:dyDescent="0.25">
      <c r="A101" s="49">
        <v>31</v>
      </c>
      <c r="B101" s="50" t="s">
        <v>43</v>
      </c>
      <c r="C101" s="56" t="str">
        <f t="shared" si="163"/>
        <v>HDKOTE/1714</v>
      </c>
      <c r="D101" s="51" t="s">
        <v>137</v>
      </c>
      <c r="E101" s="55" t="str">
        <f t="shared" ref="E101:F101" si="245">E100</f>
        <v>HKL546</v>
      </c>
      <c r="F101" s="50">
        <f t="shared" si="245"/>
        <v>0.88</v>
      </c>
      <c r="G101" s="49" t="s">
        <v>221</v>
      </c>
      <c r="H101" s="64" t="s">
        <v>222</v>
      </c>
      <c r="I101" s="49">
        <f t="shared" ref="I101:J101" si="246">I100</f>
        <v>3</v>
      </c>
      <c r="J101" s="49" t="str">
        <f t="shared" si="246"/>
        <v>LT 3</v>
      </c>
      <c r="K101" s="84">
        <f>'HKL546'!Q90</f>
        <v>0</v>
      </c>
      <c r="L101" s="84">
        <f>'HKL546'!P90</f>
        <v>0</v>
      </c>
      <c r="M101" s="84">
        <f t="shared" si="203"/>
        <v>1</v>
      </c>
      <c r="N101" s="84">
        <f t="shared" si="241"/>
        <v>0</v>
      </c>
      <c r="O101" s="84">
        <f>'HKL546'!F90</f>
        <v>0</v>
      </c>
      <c r="P101" s="84">
        <f>'HKL546'!E90</f>
        <v>0</v>
      </c>
      <c r="Q101" s="84">
        <f t="shared" si="166"/>
        <v>1</v>
      </c>
      <c r="R101" s="84">
        <f t="shared" si="242"/>
        <v>0</v>
      </c>
      <c r="S101" s="84">
        <f>'HKL546'!K90</f>
        <v>0</v>
      </c>
      <c r="T101" s="84">
        <f>'HKL546'!J90</f>
        <v>0</v>
      </c>
      <c r="U101" s="84">
        <f t="shared" si="206"/>
        <v>1</v>
      </c>
      <c r="V101" s="84">
        <f t="shared" si="243"/>
        <v>0</v>
      </c>
      <c r="W101" s="84"/>
      <c r="X101" s="84"/>
      <c r="Y101" s="85">
        <f t="shared" si="244"/>
        <v>0</v>
      </c>
      <c r="Z101" s="86"/>
      <c r="AA101" s="82"/>
    </row>
    <row r="102" spans="1:28" s="40" customFormat="1" ht="39.950000000000003" hidden="1" customHeight="1" x14ac:dyDescent="0.25">
      <c r="A102" s="49"/>
      <c r="B102" s="50"/>
      <c r="C102" s="56"/>
      <c r="D102" s="51"/>
      <c r="E102" s="55"/>
      <c r="F102" s="50"/>
      <c r="G102" s="49"/>
      <c r="H102" s="64"/>
      <c r="I102" s="49"/>
      <c r="J102" s="49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5"/>
      <c r="Z102" s="86"/>
      <c r="AA102" s="82"/>
    </row>
    <row r="103" spans="1:28" s="40" customFormat="1" ht="39.950000000000003" hidden="1" customHeight="1" x14ac:dyDescent="0.25">
      <c r="A103" s="49">
        <v>1</v>
      </c>
      <c r="B103" s="50" t="s">
        <v>43</v>
      </c>
      <c r="C103" s="56" t="s">
        <v>229</v>
      </c>
      <c r="D103" s="51" t="s">
        <v>141</v>
      </c>
      <c r="E103" s="55" t="s">
        <v>140</v>
      </c>
      <c r="F103" s="50">
        <v>3</v>
      </c>
      <c r="G103" s="49" t="s">
        <v>221</v>
      </c>
      <c r="H103" s="64" t="s">
        <v>222</v>
      </c>
      <c r="I103" s="49">
        <v>3</v>
      </c>
      <c r="J103" s="49" t="s">
        <v>224</v>
      </c>
      <c r="K103" s="84">
        <f>HDTCL2809!Q8</f>
        <v>295</v>
      </c>
      <c r="L103" s="84">
        <f>HDTCL2809!P8</f>
        <v>503</v>
      </c>
      <c r="M103" s="84">
        <f>'[1]April-18'!M9</f>
        <v>1</v>
      </c>
      <c r="N103" s="84">
        <f t="shared" si="0"/>
        <v>208</v>
      </c>
      <c r="O103" s="84">
        <f>HDTCL2809!F8</f>
        <v>93.5</v>
      </c>
      <c r="P103" s="84">
        <f>HDTCL2809!E8</f>
        <v>193.6</v>
      </c>
      <c r="Q103" s="84">
        <v>1</v>
      </c>
      <c r="R103" s="84">
        <f t="shared" si="7"/>
        <v>100.1</v>
      </c>
      <c r="S103" s="84">
        <f>HDTCL2809!K8</f>
        <v>111.3</v>
      </c>
      <c r="T103" s="84">
        <f>HDTCL2809!J8</f>
        <v>237.3</v>
      </c>
      <c r="U103" s="84">
        <f>'[1]April-18'!U9</f>
        <v>1</v>
      </c>
      <c r="V103" s="84">
        <f t="shared" si="8"/>
        <v>126.00000000000001</v>
      </c>
      <c r="W103" s="84"/>
      <c r="X103" s="84"/>
      <c r="Y103" s="85">
        <f t="shared" si="87"/>
        <v>2.3111111111111113</v>
      </c>
      <c r="Z103" s="84"/>
      <c r="AA103" s="82" t="str">
        <f>HDTCL2809!B8</f>
        <v>01.08.2019</v>
      </c>
      <c r="AB103" s="52"/>
    </row>
    <row r="104" spans="1:28" s="40" customFormat="1" ht="39.950000000000003" hidden="1" customHeight="1" x14ac:dyDescent="0.25">
      <c r="A104" s="49">
        <v>2</v>
      </c>
      <c r="B104" s="50" t="s">
        <v>43</v>
      </c>
      <c r="C104" s="56" t="str">
        <f>C103</f>
        <v>HDKOTE/1714</v>
      </c>
      <c r="D104" s="51" t="s">
        <v>141</v>
      </c>
      <c r="E104" s="55" t="str">
        <f>E103</f>
        <v>HDTCL2809</v>
      </c>
      <c r="F104" s="50">
        <f>F103</f>
        <v>3</v>
      </c>
      <c r="G104" s="49" t="s">
        <v>221</v>
      </c>
      <c r="H104" s="64" t="s">
        <v>222</v>
      </c>
      <c r="I104" s="49">
        <f>I103</f>
        <v>3</v>
      </c>
      <c r="J104" s="49" t="str">
        <f>J103</f>
        <v>LT 3</v>
      </c>
      <c r="K104" s="84">
        <f>HDTCL2809!Q9</f>
        <v>503</v>
      </c>
      <c r="L104" s="84">
        <f>HDTCL2809!P9</f>
        <v>660</v>
      </c>
      <c r="M104" s="84">
        <f>'[1]April-18'!M10</f>
        <v>1</v>
      </c>
      <c r="N104" s="84">
        <f t="shared" si="0"/>
        <v>157</v>
      </c>
      <c r="O104" s="84">
        <f>HDTCL2809!F9</f>
        <v>193.6</v>
      </c>
      <c r="P104" s="84">
        <f>HDTCL2809!E9</f>
        <v>313</v>
      </c>
      <c r="Q104" s="84">
        <f>Q103</f>
        <v>1</v>
      </c>
      <c r="R104" s="84">
        <f t="shared" si="7"/>
        <v>119.4</v>
      </c>
      <c r="S104" s="84">
        <f>HDTCL2809!K9</f>
        <v>237.3</v>
      </c>
      <c r="T104" s="84">
        <f>HDTCL2809!J9</f>
        <v>330</v>
      </c>
      <c r="U104" s="84">
        <f>'[1]April-18'!U10</f>
        <v>1</v>
      </c>
      <c r="V104" s="84">
        <f t="shared" si="8"/>
        <v>92.699999999999989</v>
      </c>
      <c r="W104" s="84"/>
      <c r="X104" s="84"/>
      <c r="Y104" s="85">
        <f t="shared" si="87"/>
        <v>1.7444444444444445</v>
      </c>
      <c r="Z104" s="84"/>
      <c r="AA104" s="82" t="str">
        <f>HDTCL2809!B9</f>
        <v>01.09.2019</v>
      </c>
      <c r="AB104" s="52"/>
    </row>
    <row r="105" spans="1:28" s="40" customFormat="1" ht="39.950000000000003" hidden="1" customHeight="1" x14ac:dyDescent="0.25">
      <c r="A105" s="49">
        <v>3</v>
      </c>
      <c r="B105" s="50" t="s">
        <v>43</v>
      </c>
      <c r="C105" s="56" t="str">
        <f>C104</f>
        <v>HDKOTE/1714</v>
      </c>
      <c r="D105" s="51" t="s">
        <v>141</v>
      </c>
      <c r="E105" s="55" t="str">
        <f>E104</f>
        <v>HDTCL2809</v>
      </c>
      <c r="F105" s="50">
        <f>F104</f>
        <v>3</v>
      </c>
      <c r="G105" s="49" t="s">
        <v>221</v>
      </c>
      <c r="H105" s="64" t="s">
        <v>222</v>
      </c>
      <c r="I105" s="49">
        <f>I104</f>
        <v>3</v>
      </c>
      <c r="J105" s="49" t="str">
        <f>J104</f>
        <v>LT 3</v>
      </c>
      <c r="K105" s="84">
        <f>HDTCL2809!Q10</f>
        <v>660</v>
      </c>
      <c r="L105" s="84">
        <f>HDTCL2809!P10</f>
        <v>832.8</v>
      </c>
      <c r="M105" s="84">
        <f>'[1]April-18'!M11</f>
        <v>1</v>
      </c>
      <c r="N105" s="84">
        <f t="shared" si="0"/>
        <v>172.79999999999995</v>
      </c>
      <c r="O105" s="84">
        <f>HDTCL2809!F10</f>
        <v>313</v>
      </c>
      <c r="P105" s="84">
        <f>HDTCL2809!E10</f>
        <v>415.4</v>
      </c>
      <c r="Q105" s="84">
        <f>Q104</f>
        <v>1</v>
      </c>
      <c r="R105" s="84">
        <f t="shared" si="7"/>
        <v>102.39999999999998</v>
      </c>
      <c r="S105" s="84">
        <f>HDTCL2809!K10</f>
        <v>330</v>
      </c>
      <c r="T105" s="84">
        <f>HDTCL2809!J10</f>
        <v>467.9</v>
      </c>
      <c r="U105" s="84">
        <f>'[1]April-18'!U11</f>
        <v>1</v>
      </c>
      <c r="V105" s="84">
        <f t="shared" si="8"/>
        <v>137.89999999999998</v>
      </c>
      <c r="W105" s="84"/>
      <c r="X105" s="84"/>
      <c r="Y105" s="85">
        <f t="shared" si="87"/>
        <v>1.9199999999999997</v>
      </c>
      <c r="Z105" s="84"/>
      <c r="AA105" s="82" t="str">
        <f>HDTCL2809!B10</f>
        <v>01.10.2019</v>
      </c>
      <c r="AB105" s="52"/>
    </row>
    <row r="106" spans="1:28" s="40" customFormat="1" ht="39.950000000000003" hidden="1" customHeight="1" x14ac:dyDescent="0.25">
      <c r="A106" s="49">
        <v>4</v>
      </c>
      <c r="B106" s="50" t="s">
        <v>43</v>
      </c>
      <c r="C106" s="56" t="str">
        <f t="shared" ref="C106:C134" si="247">C105</f>
        <v>HDKOTE/1714</v>
      </c>
      <c r="D106" s="51" t="s">
        <v>141</v>
      </c>
      <c r="E106" s="55" t="str">
        <f t="shared" ref="E106:F109" si="248">E105</f>
        <v>HDTCL2809</v>
      </c>
      <c r="F106" s="50">
        <f t="shared" si="248"/>
        <v>3</v>
      </c>
      <c r="G106" s="49" t="s">
        <v>221</v>
      </c>
      <c r="H106" s="64" t="s">
        <v>222</v>
      </c>
      <c r="I106" s="49">
        <f t="shared" ref="I106:J109" si="249">I105</f>
        <v>3</v>
      </c>
      <c r="J106" s="49" t="str">
        <f t="shared" si="249"/>
        <v>LT 3</v>
      </c>
      <c r="K106" s="84">
        <f>HDTCL2809!Q11</f>
        <v>832.8</v>
      </c>
      <c r="L106" s="84">
        <f>HDTCL2809!P11</f>
        <v>1054</v>
      </c>
      <c r="M106" s="84">
        <f>'[1]April-18'!M12</f>
        <v>1</v>
      </c>
      <c r="N106" s="84">
        <f t="shared" si="0"/>
        <v>221.20000000000005</v>
      </c>
      <c r="O106" s="84">
        <f>HDTCL2809!F11</f>
        <v>415.4</v>
      </c>
      <c r="P106" s="84">
        <f>HDTCL2809!E11</f>
        <v>507</v>
      </c>
      <c r="Q106" s="84">
        <f t="shared" ref="Q106:Q134" si="250">Q105</f>
        <v>1</v>
      </c>
      <c r="R106" s="84">
        <f t="shared" si="7"/>
        <v>91.600000000000023</v>
      </c>
      <c r="S106" s="84">
        <f>HDTCL2809!K11</f>
        <v>467.9</v>
      </c>
      <c r="T106" s="84">
        <f>HDTCL2809!J11</f>
        <v>591.4</v>
      </c>
      <c r="U106" s="84">
        <f>'[1]April-18'!U12</f>
        <v>1</v>
      </c>
      <c r="V106" s="84">
        <f t="shared" si="8"/>
        <v>123.5</v>
      </c>
      <c r="W106" s="84"/>
      <c r="X106" s="84"/>
      <c r="Y106" s="85">
        <f t="shared" si="87"/>
        <v>2.4577777777777783</v>
      </c>
      <c r="Z106" s="84"/>
      <c r="AA106" s="82" t="str">
        <f>HDTCL2809!B11</f>
        <v>01.11.2019</v>
      </c>
      <c r="AB106" s="52"/>
    </row>
    <row r="107" spans="1:28" s="40" customFormat="1" ht="39.950000000000003" hidden="1" customHeight="1" x14ac:dyDescent="0.25">
      <c r="A107" s="49">
        <v>5</v>
      </c>
      <c r="B107" s="50" t="s">
        <v>43</v>
      </c>
      <c r="C107" s="56" t="str">
        <f t="shared" si="247"/>
        <v>HDKOTE/1714</v>
      </c>
      <c r="D107" s="51" t="s">
        <v>141</v>
      </c>
      <c r="E107" s="55" t="str">
        <f t="shared" si="248"/>
        <v>HDTCL2809</v>
      </c>
      <c r="F107" s="50">
        <f t="shared" si="248"/>
        <v>3</v>
      </c>
      <c r="G107" s="49" t="s">
        <v>221</v>
      </c>
      <c r="H107" s="64" t="s">
        <v>222</v>
      </c>
      <c r="I107" s="49">
        <f t="shared" si="249"/>
        <v>3</v>
      </c>
      <c r="J107" s="49" t="str">
        <f t="shared" si="249"/>
        <v>LT 3</v>
      </c>
      <c r="K107" s="84">
        <f>HDTCL2809!Q12</f>
        <v>1054</v>
      </c>
      <c r="L107" s="84">
        <f>HDTCL2809!P12</f>
        <v>1229</v>
      </c>
      <c r="M107" s="84">
        <f>'[1]April-18'!M13</f>
        <v>1</v>
      </c>
      <c r="N107" s="84">
        <f t="shared" si="0"/>
        <v>175</v>
      </c>
      <c r="O107" s="84">
        <f>HDTCL2809!F12</f>
        <v>507</v>
      </c>
      <c r="P107" s="84">
        <f>HDTCL2809!E12</f>
        <v>600.6</v>
      </c>
      <c r="Q107" s="84">
        <f t="shared" si="250"/>
        <v>1</v>
      </c>
      <c r="R107" s="84">
        <f t="shared" si="7"/>
        <v>93.600000000000023</v>
      </c>
      <c r="S107" s="84">
        <f>HDTCL2809!K12</f>
        <v>591.4</v>
      </c>
      <c r="T107" s="84">
        <f>HDTCL2809!J12</f>
        <v>697.4</v>
      </c>
      <c r="U107" s="84">
        <f>'[1]April-18'!U13</f>
        <v>1</v>
      </c>
      <c r="V107" s="84">
        <f t="shared" si="8"/>
        <v>106</v>
      </c>
      <c r="W107" s="84"/>
      <c r="X107" s="84"/>
      <c r="Y107" s="85">
        <f t="shared" si="87"/>
        <v>1.9444444444444444</v>
      </c>
      <c r="Z107" s="84"/>
      <c r="AA107" s="82" t="str">
        <f>HDTCL2809!B12</f>
        <v>01.12.2019</v>
      </c>
      <c r="AB107" s="52"/>
    </row>
    <row r="108" spans="1:28" s="40" customFormat="1" ht="39.950000000000003" hidden="1" customHeight="1" x14ac:dyDescent="0.25">
      <c r="A108" s="49">
        <v>6</v>
      </c>
      <c r="B108" s="50" t="s">
        <v>43</v>
      </c>
      <c r="C108" s="56" t="str">
        <f t="shared" si="247"/>
        <v>HDKOTE/1714</v>
      </c>
      <c r="D108" s="51" t="s">
        <v>141</v>
      </c>
      <c r="E108" s="55" t="str">
        <f t="shared" si="248"/>
        <v>HDTCL2809</v>
      </c>
      <c r="F108" s="50">
        <f t="shared" si="248"/>
        <v>3</v>
      </c>
      <c r="G108" s="49" t="s">
        <v>221</v>
      </c>
      <c r="H108" s="64" t="s">
        <v>222</v>
      </c>
      <c r="I108" s="49">
        <f t="shared" si="249"/>
        <v>3</v>
      </c>
      <c r="J108" s="49" t="str">
        <f t="shared" si="249"/>
        <v>LT 3</v>
      </c>
      <c r="K108" s="84">
        <f>HDTCL2809!Q13</f>
        <v>1229</v>
      </c>
      <c r="L108" s="84">
        <f>HDTCL2809!P13</f>
        <v>1378</v>
      </c>
      <c r="M108" s="84">
        <f>'[1]April-18'!M14</f>
        <v>1</v>
      </c>
      <c r="N108" s="84">
        <f t="shared" si="0"/>
        <v>149</v>
      </c>
      <c r="O108" s="84">
        <f>HDTCL2809!F13</f>
        <v>600.6</v>
      </c>
      <c r="P108" s="84">
        <f>HDTCL2809!E13</f>
        <v>690.8</v>
      </c>
      <c r="Q108" s="84">
        <f t="shared" si="250"/>
        <v>1</v>
      </c>
      <c r="R108" s="84">
        <f t="shared" si="7"/>
        <v>90.199999999999932</v>
      </c>
      <c r="S108" s="84">
        <f>HDTCL2809!K13</f>
        <v>697.4</v>
      </c>
      <c r="T108" s="84">
        <f>HDTCL2809!J13</f>
        <v>780.6</v>
      </c>
      <c r="U108" s="84">
        <f>'[1]April-18'!U14</f>
        <v>1</v>
      </c>
      <c r="V108" s="84">
        <f t="shared" si="8"/>
        <v>83.200000000000045</v>
      </c>
      <c r="W108" s="84"/>
      <c r="X108" s="84"/>
      <c r="Y108" s="85">
        <f t="shared" si="87"/>
        <v>1.6555555555555557</v>
      </c>
      <c r="Z108" s="84"/>
      <c r="AA108" s="82" t="str">
        <f>HDTCL2809!B13</f>
        <v>01.01.2020</v>
      </c>
      <c r="AB108" s="52"/>
    </row>
    <row r="109" spans="1:28" s="40" customFormat="1" ht="39.950000000000003" hidden="1" customHeight="1" x14ac:dyDescent="0.25">
      <c r="A109" s="49">
        <v>7</v>
      </c>
      <c r="B109" s="50" t="s">
        <v>43</v>
      </c>
      <c r="C109" s="56" t="str">
        <f t="shared" si="247"/>
        <v>HDKOTE/1714</v>
      </c>
      <c r="D109" s="51" t="s">
        <v>141</v>
      </c>
      <c r="E109" s="55" t="str">
        <f t="shared" si="248"/>
        <v>HDTCL2809</v>
      </c>
      <c r="F109" s="50">
        <f t="shared" si="248"/>
        <v>3</v>
      </c>
      <c r="G109" s="49" t="s">
        <v>221</v>
      </c>
      <c r="H109" s="64" t="s">
        <v>222</v>
      </c>
      <c r="I109" s="49">
        <f t="shared" si="249"/>
        <v>3</v>
      </c>
      <c r="J109" s="49" t="str">
        <f t="shared" si="249"/>
        <v>LT 3</v>
      </c>
      <c r="K109" s="84">
        <f>HDTCL2809!Q14</f>
        <v>1378</v>
      </c>
      <c r="L109" s="84">
        <f>HDTCL2809!P14</f>
        <v>1499</v>
      </c>
      <c r="M109" s="84">
        <f>'[1]April-18'!M15</f>
        <v>1</v>
      </c>
      <c r="N109" s="84">
        <f t="shared" si="0"/>
        <v>121</v>
      </c>
      <c r="O109" s="84">
        <f>HDTCL2809!F14</f>
        <v>690.8</v>
      </c>
      <c r="P109" s="84">
        <f>HDTCL2809!E14</f>
        <v>781</v>
      </c>
      <c r="Q109" s="84">
        <f t="shared" si="250"/>
        <v>1</v>
      </c>
      <c r="R109" s="84">
        <f t="shared" si="7"/>
        <v>90.200000000000045</v>
      </c>
      <c r="S109" s="84">
        <f>HDTCL2809!K14</f>
        <v>780.6</v>
      </c>
      <c r="T109" s="84">
        <f>HDTCL2809!J14</f>
        <v>865</v>
      </c>
      <c r="U109" s="84">
        <f>'[1]April-18'!U15</f>
        <v>1</v>
      </c>
      <c r="V109" s="84">
        <f t="shared" si="8"/>
        <v>84.399999999999977</v>
      </c>
      <c r="W109" s="84"/>
      <c r="X109" s="84"/>
      <c r="Y109" s="85">
        <f t="shared" si="87"/>
        <v>1.3444444444444443</v>
      </c>
      <c r="Z109" s="84"/>
      <c r="AA109" s="82" t="s">
        <v>253</v>
      </c>
      <c r="AB109" s="52"/>
    </row>
    <row r="110" spans="1:28" s="40" customFormat="1" ht="39.950000000000003" hidden="1" customHeight="1" x14ac:dyDescent="0.25">
      <c r="A110" s="49">
        <v>8</v>
      </c>
      <c r="B110" s="50" t="s">
        <v>43</v>
      </c>
      <c r="C110" s="56" t="str">
        <f t="shared" si="247"/>
        <v>HDKOTE/1714</v>
      </c>
      <c r="D110" s="51" t="s">
        <v>141</v>
      </c>
      <c r="E110" s="55" t="str">
        <f t="shared" ref="E110:F110" si="251">E109</f>
        <v>HDTCL2809</v>
      </c>
      <c r="F110" s="50">
        <f t="shared" si="251"/>
        <v>3</v>
      </c>
      <c r="G110" s="49" t="s">
        <v>221</v>
      </c>
      <c r="H110" s="64" t="s">
        <v>222</v>
      </c>
      <c r="I110" s="49">
        <f t="shared" ref="I110:J110" si="252">I109</f>
        <v>3</v>
      </c>
      <c r="J110" s="49" t="str">
        <f t="shared" si="252"/>
        <v>LT 3</v>
      </c>
      <c r="K110" s="84">
        <f>HDTCL2809!Q15</f>
        <v>1499</v>
      </c>
      <c r="L110" s="84">
        <f>HDTCL2809!P15</f>
        <v>1619</v>
      </c>
      <c r="M110" s="84">
        <f>'[1]April-18'!M16</f>
        <v>1</v>
      </c>
      <c r="N110" s="84">
        <f t="shared" ref="N110:N116" si="253">(L110-K110)*M110</f>
        <v>120</v>
      </c>
      <c r="O110" s="84">
        <f>HDTCL2809!F15</f>
        <v>781</v>
      </c>
      <c r="P110" s="84">
        <f>HDTCL2809!E15</f>
        <v>870.5</v>
      </c>
      <c r="Q110" s="84">
        <f t="shared" si="250"/>
        <v>1</v>
      </c>
      <c r="R110" s="84">
        <f t="shared" ref="R110:R116" si="254">(P110-O110)*Q110</f>
        <v>89.5</v>
      </c>
      <c r="S110" s="84">
        <f>HDTCL2809!K15</f>
        <v>865</v>
      </c>
      <c r="T110" s="84">
        <f>HDTCL2809!J15</f>
        <v>949.4</v>
      </c>
      <c r="U110" s="84">
        <f>'[1]April-18'!U16</f>
        <v>1</v>
      </c>
      <c r="V110" s="84">
        <f t="shared" ref="V110:V116" si="255">(T110-S110)*U110</f>
        <v>84.399999999999977</v>
      </c>
      <c r="W110" s="84"/>
      <c r="X110" s="84"/>
      <c r="Y110" s="85">
        <f t="shared" ref="Y110:Y116" si="256">N110/30/I110</f>
        <v>1.3333333333333333</v>
      </c>
      <c r="Z110" s="84"/>
      <c r="AA110" s="82" t="s">
        <v>254</v>
      </c>
      <c r="AB110" s="52"/>
    </row>
    <row r="111" spans="1:28" s="40" customFormat="1" ht="39.950000000000003" hidden="1" customHeight="1" x14ac:dyDescent="0.25">
      <c r="A111" s="49">
        <v>9</v>
      </c>
      <c r="B111" s="50" t="s">
        <v>43</v>
      </c>
      <c r="C111" s="56" t="str">
        <f t="shared" si="247"/>
        <v>HDKOTE/1714</v>
      </c>
      <c r="D111" s="51" t="s">
        <v>141</v>
      </c>
      <c r="E111" s="55" t="str">
        <f t="shared" ref="E111:F111" si="257">E110</f>
        <v>HDTCL2809</v>
      </c>
      <c r="F111" s="50">
        <f t="shared" si="257"/>
        <v>3</v>
      </c>
      <c r="G111" s="49" t="s">
        <v>221</v>
      </c>
      <c r="H111" s="64" t="s">
        <v>222</v>
      </c>
      <c r="I111" s="49">
        <f t="shared" ref="I111:J111" si="258">I110</f>
        <v>3</v>
      </c>
      <c r="J111" s="49" t="str">
        <f t="shared" si="258"/>
        <v>LT 3</v>
      </c>
      <c r="K111" s="84">
        <f>HDTCL2809!Q16</f>
        <v>1619</v>
      </c>
      <c r="L111" s="84">
        <f>HDTCL2809!P16</f>
        <v>1895</v>
      </c>
      <c r="M111" s="84">
        <f>'[1]April-18'!M17</f>
        <v>1</v>
      </c>
      <c r="N111" s="84">
        <f t="shared" si="253"/>
        <v>276</v>
      </c>
      <c r="O111" s="84">
        <f>HDTCL2809!F16</f>
        <v>870.5</v>
      </c>
      <c r="P111" s="84">
        <f>HDTCL2809!E16</f>
        <v>958.5</v>
      </c>
      <c r="Q111" s="84">
        <f t="shared" si="250"/>
        <v>1</v>
      </c>
      <c r="R111" s="84">
        <f t="shared" si="254"/>
        <v>88</v>
      </c>
      <c r="S111" s="84">
        <f>HDTCL2809!K16</f>
        <v>949.4</v>
      </c>
      <c r="T111" s="84">
        <f>HDTCL2809!J16</f>
        <v>1136.4000000000001</v>
      </c>
      <c r="U111" s="84">
        <f>'[1]April-18'!U17</f>
        <v>1</v>
      </c>
      <c r="V111" s="84">
        <f t="shared" si="255"/>
        <v>187.00000000000011</v>
      </c>
      <c r="W111" s="84"/>
      <c r="X111" s="84"/>
      <c r="Y111" s="85">
        <f t="shared" si="256"/>
        <v>3.0666666666666664</v>
      </c>
      <c r="Z111" s="84"/>
      <c r="AA111" s="82" t="s">
        <v>258</v>
      </c>
      <c r="AB111" s="52"/>
    </row>
    <row r="112" spans="1:28" s="40" customFormat="1" ht="39.950000000000003" hidden="1" customHeight="1" x14ac:dyDescent="0.25">
      <c r="A112" s="49">
        <v>10</v>
      </c>
      <c r="B112" s="50" t="s">
        <v>43</v>
      </c>
      <c r="C112" s="56" t="str">
        <f t="shared" si="247"/>
        <v>HDKOTE/1714</v>
      </c>
      <c r="D112" s="51" t="s">
        <v>141</v>
      </c>
      <c r="E112" s="55" t="str">
        <f t="shared" ref="E112:F112" si="259">E111</f>
        <v>HDTCL2809</v>
      </c>
      <c r="F112" s="50">
        <f t="shared" si="259"/>
        <v>3</v>
      </c>
      <c r="G112" s="49" t="s">
        <v>221</v>
      </c>
      <c r="H112" s="64" t="s">
        <v>222</v>
      </c>
      <c r="I112" s="49">
        <f t="shared" ref="I112:J112" si="260">I111</f>
        <v>3</v>
      </c>
      <c r="J112" s="49" t="str">
        <f t="shared" si="260"/>
        <v>LT 3</v>
      </c>
      <c r="K112" s="84">
        <f>HDTCL2809!Q17</f>
        <v>0</v>
      </c>
      <c r="L112" s="84">
        <f>HDTCL2809!P17</f>
        <v>0</v>
      </c>
      <c r="M112" s="84">
        <f>'[1]April-18'!M18</f>
        <v>1</v>
      </c>
      <c r="N112" s="84">
        <f t="shared" si="253"/>
        <v>0</v>
      </c>
      <c r="O112" s="84">
        <f>HDTCL2809!F17</f>
        <v>0</v>
      </c>
      <c r="P112" s="84">
        <f>HDTCL2809!E17</f>
        <v>0</v>
      </c>
      <c r="Q112" s="84">
        <f t="shared" si="250"/>
        <v>1</v>
      </c>
      <c r="R112" s="84">
        <f t="shared" si="254"/>
        <v>0</v>
      </c>
      <c r="S112" s="84">
        <f>HDTCL2809!K17</f>
        <v>0</v>
      </c>
      <c r="T112" s="84">
        <f>HDTCL2809!J17</f>
        <v>0</v>
      </c>
      <c r="U112" s="84">
        <f>'[1]April-18'!U18</f>
        <v>1</v>
      </c>
      <c r="V112" s="84">
        <f t="shared" si="255"/>
        <v>0</v>
      </c>
      <c r="W112" s="84"/>
      <c r="X112" s="84"/>
      <c r="Y112" s="85">
        <f t="shared" si="256"/>
        <v>0</v>
      </c>
      <c r="Z112" s="84"/>
      <c r="AA112" s="82"/>
      <c r="AB112" s="52"/>
    </row>
    <row r="113" spans="1:28" s="40" customFormat="1" ht="39.950000000000003" hidden="1" customHeight="1" x14ac:dyDescent="0.25">
      <c r="A113" s="49">
        <v>11</v>
      </c>
      <c r="B113" s="50" t="s">
        <v>43</v>
      </c>
      <c r="C113" s="56" t="str">
        <f t="shared" si="247"/>
        <v>HDKOTE/1714</v>
      </c>
      <c r="D113" s="51" t="s">
        <v>141</v>
      </c>
      <c r="E113" s="55" t="str">
        <f t="shared" ref="E113:F113" si="261">E112</f>
        <v>HDTCL2809</v>
      </c>
      <c r="F113" s="50">
        <f t="shared" si="261"/>
        <v>3</v>
      </c>
      <c r="G113" s="49" t="s">
        <v>221</v>
      </c>
      <c r="H113" s="64" t="s">
        <v>222</v>
      </c>
      <c r="I113" s="49">
        <f t="shared" ref="I113:J113" si="262">I112</f>
        <v>3</v>
      </c>
      <c r="J113" s="49" t="str">
        <f t="shared" si="262"/>
        <v>LT 3</v>
      </c>
      <c r="K113" s="84">
        <f>HDTCL2809!Q18</f>
        <v>1895</v>
      </c>
      <c r="L113" s="84">
        <f>HDTCL2809!P18</f>
        <v>2252</v>
      </c>
      <c r="M113" s="84">
        <f>'[1]April-18'!M19</f>
        <v>1</v>
      </c>
      <c r="N113" s="84">
        <f t="shared" si="253"/>
        <v>357</v>
      </c>
      <c r="O113" s="84">
        <f>HDTCL2809!F18</f>
        <v>958.5</v>
      </c>
      <c r="P113" s="84">
        <f>HDTCL2809!E18</f>
        <v>1061.2</v>
      </c>
      <c r="Q113" s="84">
        <f t="shared" si="250"/>
        <v>1</v>
      </c>
      <c r="R113" s="84">
        <f t="shared" si="254"/>
        <v>102.70000000000005</v>
      </c>
      <c r="S113" s="84">
        <f>HDTCL2809!K18</f>
        <v>1136.4000000000001</v>
      </c>
      <c r="T113" s="84">
        <f>HDTCL2809!J18</f>
        <v>1392.2</v>
      </c>
      <c r="U113" s="84">
        <f>'[1]April-18'!U19</f>
        <v>1</v>
      </c>
      <c r="V113" s="84">
        <f t="shared" si="255"/>
        <v>255.79999999999995</v>
      </c>
      <c r="W113" s="84"/>
      <c r="X113" s="84"/>
      <c r="Y113" s="85">
        <f t="shared" si="256"/>
        <v>3.9666666666666668</v>
      </c>
      <c r="Z113" s="84"/>
      <c r="AA113" s="82" t="s">
        <v>259</v>
      </c>
      <c r="AB113" s="52"/>
    </row>
    <row r="114" spans="1:28" s="40" customFormat="1" ht="39.950000000000003" hidden="1" customHeight="1" x14ac:dyDescent="0.25">
      <c r="A114" s="49">
        <v>12</v>
      </c>
      <c r="B114" s="50" t="s">
        <v>43</v>
      </c>
      <c r="C114" s="56" t="str">
        <f t="shared" si="247"/>
        <v>HDKOTE/1714</v>
      </c>
      <c r="D114" s="51" t="s">
        <v>141</v>
      </c>
      <c r="E114" s="55" t="str">
        <f t="shared" ref="E114:F114" si="263">E113</f>
        <v>HDTCL2809</v>
      </c>
      <c r="F114" s="50">
        <f t="shared" si="263"/>
        <v>3</v>
      </c>
      <c r="G114" s="49" t="s">
        <v>221</v>
      </c>
      <c r="H114" s="64" t="s">
        <v>222</v>
      </c>
      <c r="I114" s="49">
        <f t="shared" ref="I114:J114" si="264">I113</f>
        <v>3</v>
      </c>
      <c r="J114" s="49" t="str">
        <f t="shared" si="264"/>
        <v>LT 3</v>
      </c>
      <c r="K114" s="84">
        <f>HDTCL2809!Q19</f>
        <v>2252</v>
      </c>
      <c r="L114" s="84">
        <f>HDTCL2809!P19</f>
        <v>2543</v>
      </c>
      <c r="M114" s="84">
        <f>'[1]April-18'!M20</f>
        <v>1</v>
      </c>
      <c r="N114" s="84">
        <f t="shared" si="253"/>
        <v>291</v>
      </c>
      <c r="O114" s="84">
        <f>HDTCL2809!F19</f>
        <v>1061.2</v>
      </c>
      <c r="P114" s="84">
        <f>HDTCL2809!E19</f>
        <v>1154.0999999999999</v>
      </c>
      <c r="Q114" s="84">
        <f t="shared" si="250"/>
        <v>1</v>
      </c>
      <c r="R114" s="84">
        <f t="shared" si="254"/>
        <v>92.899999999999864</v>
      </c>
      <c r="S114" s="84">
        <f>HDTCL2809!K19</f>
        <v>1392.2</v>
      </c>
      <c r="T114" s="84">
        <f>HDTCL2809!J19</f>
        <v>1587.9</v>
      </c>
      <c r="U114" s="84">
        <f>'[1]April-18'!U20</f>
        <v>1</v>
      </c>
      <c r="V114" s="84">
        <f t="shared" si="255"/>
        <v>195.70000000000005</v>
      </c>
      <c r="W114" s="84"/>
      <c r="X114" s="84"/>
      <c r="Y114" s="85">
        <f t="shared" si="256"/>
        <v>3.2333333333333329</v>
      </c>
      <c r="Z114" s="84"/>
      <c r="AA114" s="82" t="s">
        <v>263</v>
      </c>
      <c r="AB114" s="52"/>
    </row>
    <row r="115" spans="1:28" s="40" customFormat="1" ht="39.950000000000003" hidden="1" customHeight="1" x14ac:dyDescent="0.25">
      <c r="A115" s="49">
        <v>13</v>
      </c>
      <c r="B115" s="50" t="s">
        <v>43</v>
      </c>
      <c r="C115" s="56" t="str">
        <f t="shared" si="247"/>
        <v>HDKOTE/1714</v>
      </c>
      <c r="D115" s="51" t="s">
        <v>141</v>
      </c>
      <c r="E115" s="55" t="str">
        <f t="shared" ref="E115:F115" si="265">E114</f>
        <v>HDTCL2809</v>
      </c>
      <c r="F115" s="50">
        <f t="shared" si="265"/>
        <v>3</v>
      </c>
      <c r="G115" s="49" t="s">
        <v>221</v>
      </c>
      <c r="H115" s="64" t="s">
        <v>222</v>
      </c>
      <c r="I115" s="49">
        <f t="shared" ref="I115:J115" si="266">I114</f>
        <v>3</v>
      </c>
      <c r="J115" s="49" t="str">
        <f t="shared" si="266"/>
        <v>LT 3</v>
      </c>
      <c r="K115" s="84">
        <f>HDTCL2809!Q20</f>
        <v>2543</v>
      </c>
      <c r="L115" s="84">
        <f>HDTCL2809!P20</f>
        <v>2747</v>
      </c>
      <c r="M115" s="84">
        <f>'[1]April-18'!M21</f>
        <v>1</v>
      </c>
      <c r="N115" s="84">
        <f t="shared" si="253"/>
        <v>204</v>
      </c>
      <c r="O115" s="84">
        <f>HDTCL2809!F20</f>
        <v>1154.0999999999999</v>
      </c>
      <c r="P115" s="84">
        <f>HDTCL2809!E20</f>
        <v>1232.4000000000001</v>
      </c>
      <c r="Q115" s="84">
        <f t="shared" si="250"/>
        <v>1</v>
      </c>
      <c r="R115" s="84">
        <f t="shared" si="254"/>
        <v>78.300000000000182</v>
      </c>
      <c r="S115" s="84">
        <f>HDTCL2809!K20</f>
        <v>1587.9</v>
      </c>
      <c r="T115" s="84">
        <f>HDTCL2809!J20</f>
        <v>1750.5</v>
      </c>
      <c r="U115" s="84">
        <f>'[1]April-18'!U21</f>
        <v>1</v>
      </c>
      <c r="V115" s="84">
        <f t="shared" si="255"/>
        <v>162.59999999999991</v>
      </c>
      <c r="W115" s="84"/>
      <c r="X115" s="84"/>
      <c r="Y115" s="85">
        <f t="shared" si="256"/>
        <v>2.2666666666666666</v>
      </c>
      <c r="Z115" s="84"/>
      <c r="AA115" s="82" t="s">
        <v>265</v>
      </c>
      <c r="AB115" s="52"/>
    </row>
    <row r="116" spans="1:28" s="40" customFormat="1" ht="39.950000000000003" hidden="1" customHeight="1" x14ac:dyDescent="0.25">
      <c r="A116" s="49">
        <v>14</v>
      </c>
      <c r="B116" s="50" t="s">
        <v>43</v>
      </c>
      <c r="C116" s="56" t="str">
        <f t="shared" si="247"/>
        <v>HDKOTE/1714</v>
      </c>
      <c r="D116" s="51" t="s">
        <v>141</v>
      </c>
      <c r="E116" s="55" t="str">
        <f t="shared" ref="E116:F116" si="267">E115</f>
        <v>HDTCL2809</v>
      </c>
      <c r="F116" s="50">
        <f t="shared" si="267"/>
        <v>3</v>
      </c>
      <c r="G116" s="49" t="s">
        <v>221</v>
      </c>
      <c r="H116" s="64" t="s">
        <v>222</v>
      </c>
      <c r="I116" s="49">
        <f t="shared" ref="I116:J116" si="268">I115</f>
        <v>3</v>
      </c>
      <c r="J116" s="49" t="str">
        <f t="shared" si="268"/>
        <v>LT 3</v>
      </c>
      <c r="K116" s="84">
        <f>HDTCL2809!Q21</f>
        <v>2747</v>
      </c>
      <c r="L116" s="84">
        <f>HDTCL2809!P21</f>
        <v>2984</v>
      </c>
      <c r="M116" s="84">
        <f>'[1]April-18'!M22</f>
        <v>1</v>
      </c>
      <c r="N116" s="84">
        <f t="shared" si="253"/>
        <v>237</v>
      </c>
      <c r="O116" s="84">
        <f>HDTCL2809!F21</f>
        <v>1232.4000000000001</v>
      </c>
      <c r="P116" s="84">
        <f>HDTCL2809!E21</f>
        <v>1272.7</v>
      </c>
      <c r="Q116" s="84">
        <f t="shared" si="250"/>
        <v>1</v>
      </c>
      <c r="R116" s="84">
        <f t="shared" si="254"/>
        <v>40.299999999999955</v>
      </c>
      <c r="S116" s="84">
        <f>HDTCL2809!K21</f>
        <v>1750.5</v>
      </c>
      <c r="T116" s="84">
        <f>HDTCL2809!J21</f>
        <v>1935.2</v>
      </c>
      <c r="U116" s="84">
        <f>'[1]April-18'!U22</f>
        <v>1</v>
      </c>
      <c r="V116" s="84">
        <f t="shared" si="255"/>
        <v>184.70000000000005</v>
      </c>
      <c r="W116" s="84"/>
      <c r="X116" s="84"/>
      <c r="Y116" s="85">
        <f t="shared" si="256"/>
        <v>2.6333333333333333</v>
      </c>
      <c r="Z116" s="84"/>
      <c r="AA116" s="82"/>
      <c r="AB116" s="52"/>
    </row>
    <row r="117" spans="1:28" s="40" customFormat="1" ht="39.950000000000003" hidden="1" customHeight="1" x14ac:dyDescent="0.25">
      <c r="A117" s="49">
        <v>15</v>
      </c>
      <c r="B117" s="50" t="s">
        <v>43</v>
      </c>
      <c r="C117" s="56" t="str">
        <f t="shared" si="247"/>
        <v>HDKOTE/1714</v>
      </c>
      <c r="D117" s="51" t="s">
        <v>141</v>
      </c>
      <c r="E117" s="55" t="str">
        <f t="shared" ref="E117:F117" si="269">E116</f>
        <v>HDTCL2809</v>
      </c>
      <c r="F117" s="50">
        <f t="shared" si="269"/>
        <v>3</v>
      </c>
      <c r="G117" s="49" t="s">
        <v>221</v>
      </c>
      <c r="H117" s="64" t="s">
        <v>222</v>
      </c>
      <c r="I117" s="49">
        <f t="shared" ref="I117:J117" si="270">I116</f>
        <v>3</v>
      </c>
      <c r="J117" s="49" t="str">
        <f t="shared" si="270"/>
        <v>LT 3</v>
      </c>
      <c r="K117" s="84">
        <f>HDTCL2809!Q22</f>
        <v>2984</v>
      </c>
      <c r="L117" s="84">
        <f>HDTCL2809!P22</f>
        <v>3208</v>
      </c>
      <c r="M117" s="84">
        <f>'[1]April-18'!M23</f>
        <v>1</v>
      </c>
      <c r="N117" s="84">
        <f t="shared" ref="N117:N119" si="271">(L117-K117)*M117</f>
        <v>224</v>
      </c>
      <c r="O117" s="84">
        <f>HDTCL2809!F22</f>
        <v>1272.7</v>
      </c>
      <c r="P117" s="84">
        <f>HDTCL2809!E22</f>
        <v>1345.7</v>
      </c>
      <c r="Q117" s="84">
        <f t="shared" si="250"/>
        <v>1</v>
      </c>
      <c r="R117" s="84">
        <f t="shared" ref="R117:R119" si="272">(P117-O117)*Q117</f>
        <v>73</v>
      </c>
      <c r="S117" s="84">
        <f>HDTCL2809!K22</f>
        <v>1935.2</v>
      </c>
      <c r="T117" s="84">
        <f>HDTCL2809!J22</f>
        <v>2107.6</v>
      </c>
      <c r="U117" s="84">
        <f>'[1]April-18'!U23</f>
        <v>1</v>
      </c>
      <c r="V117" s="84">
        <f t="shared" ref="V117:V119" si="273">(T117-S117)*U117</f>
        <v>172.39999999999986</v>
      </c>
      <c r="W117" s="84"/>
      <c r="X117" s="84"/>
      <c r="Y117" s="85">
        <f t="shared" ref="Y117:Y119" si="274">N117/30/I117</f>
        <v>2.4888888888888889</v>
      </c>
      <c r="Z117" s="84"/>
      <c r="AA117" s="82"/>
      <c r="AB117" s="52"/>
    </row>
    <row r="118" spans="1:28" s="40" customFormat="1" ht="39.950000000000003" hidden="1" customHeight="1" x14ac:dyDescent="0.25">
      <c r="A118" s="49">
        <v>16</v>
      </c>
      <c r="B118" s="50" t="s">
        <v>43</v>
      </c>
      <c r="C118" s="56" t="str">
        <f t="shared" si="247"/>
        <v>HDKOTE/1714</v>
      </c>
      <c r="D118" s="51" t="s">
        <v>141</v>
      </c>
      <c r="E118" s="55" t="str">
        <f t="shared" ref="E118:F118" si="275">E117</f>
        <v>HDTCL2809</v>
      </c>
      <c r="F118" s="50">
        <f t="shared" si="275"/>
        <v>3</v>
      </c>
      <c r="G118" s="49" t="s">
        <v>221</v>
      </c>
      <c r="H118" s="64" t="s">
        <v>222</v>
      </c>
      <c r="I118" s="49">
        <f t="shared" ref="I118:J118" si="276">I117</f>
        <v>3</v>
      </c>
      <c r="J118" s="49" t="str">
        <f t="shared" si="276"/>
        <v>LT 3</v>
      </c>
      <c r="K118" s="84">
        <f>HDTCL2809!Q23</f>
        <v>3208</v>
      </c>
      <c r="L118" s="84">
        <f>HDTCL2809!P23</f>
        <v>3429</v>
      </c>
      <c r="M118" s="84">
        <f>'[1]April-18'!M24</f>
        <v>1</v>
      </c>
      <c r="N118" s="84">
        <f t="shared" si="271"/>
        <v>221</v>
      </c>
      <c r="O118" s="84">
        <f>HDTCL2809!F23</f>
        <v>1345.7</v>
      </c>
      <c r="P118" s="84">
        <f>HDTCL2809!E23</f>
        <v>1435.9</v>
      </c>
      <c r="Q118" s="84">
        <f t="shared" si="250"/>
        <v>1</v>
      </c>
      <c r="R118" s="84">
        <f t="shared" si="272"/>
        <v>90.200000000000045</v>
      </c>
      <c r="S118" s="84">
        <f>HDTCL2809!K23</f>
        <v>2107.6</v>
      </c>
      <c r="T118" s="84">
        <f>HDTCL2809!J23</f>
        <v>2266.5</v>
      </c>
      <c r="U118" s="84">
        <f>'[1]April-18'!U24</f>
        <v>1</v>
      </c>
      <c r="V118" s="84">
        <f t="shared" si="273"/>
        <v>158.90000000000009</v>
      </c>
      <c r="W118" s="84"/>
      <c r="X118" s="84"/>
      <c r="Y118" s="85">
        <f t="shared" si="274"/>
        <v>2.4555555555555553</v>
      </c>
      <c r="Z118" s="84"/>
      <c r="AA118" s="82"/>
      <c r="AB118" s="52"/>
    </row>
    <row r="119" spans="1:28" s="40" customFormat="1" ht="39.950000000000003" hidden="1" customHeight="1" x14ac:dyDescent="0.25">
      <c r="A119" s="93">
        <v>17</v>
      </c>
      <c r="B119" s="50" t="s">
        <v>43</v>
      </c>
      <c r="C119" s="56" t="str">
        <f t="shared" si="247"/>
        <v>HDKOTE/1714</v>
      </c>
      <c r="D119" s="51" t="s">
        <v>141</v>
      </c>
      <c r="E119" s="55" t="str">
        <f t="shared" ref="E119:F119" si="277">E118</f>
        <v>HDTCL2809</v>
      </c>
      <c r="F119" s="50">
        <f t="shared" si="277"/>
        <v>3</v>
      </c>
      <c r="G119" s="49" t="s">
        <v>221</v>
      </c>
      <c r="H119" s="64" t="s">
        <v>222</v>
      </c>
      <c r="I119" s="49">
        <f t="shared" ref="I119:J119" si="278">I118</f>
        <v>3</v>
      </c>
      <c r="J119" s="49" t="str">
        <f t="shared" si="278"/>
        <v>LT 3</v>
      </c>
      <c r="K119" s="84">
        <f>HDTCL2809!Q24</f>
        <v>3429</v>
      </c>
      <c r="L119" s="84">
        <f>HDTCL2809!P24</f>
        <v>3646</v>
      </c>
      <c r="M119" s="84">
        <f>'[1]April-18'!M25</f>
        <v>1</v>
      </c>
      <c r="N119" s="84">
        <f t="shared" si="271"/>
        <v>217</v>
      </c>
      <c r="O119" s="84">
        <f>HDTCL2809!F24</f>
        <v>1435.9</v>
      </c>
      <c r="P119" s="84">
        <f>HDTCL2809!E24</f>
        <v>1511</v>
      </c>
      <c r="Q119" s="84">
        <f t="shared" si="250"/>
        <v>1</v>
      </c>
      <c r="R119" s="84">
        <f t="shared" si="272"/>
        <v>75.099999999999909</v>
      </c>
      <c r="S119" s="84">
        <f>HDTCL2809!K24</f>
        <v>2266.5</v>
      </c>
      <c r="T119" s="84">
        <f>HDTCL2809!J24</f>
        <v>2413.1999999999998</v>
      </c>
      <c r="U119" s="84">
        <f>'[1]April-18'!U25</f>
        <v>1</v>
      </c>
      <c r="V119" s="84">
        <f t="shared" si="273"/>
        <v>146.69999999999982</v>
      </c>
      <c r="W119" s="84"/>
      <c r="X119" s="84"/>
      <c r="Y119" s="85">
        <f t="shared" si="274"/>
        <v>2.411111111111111</v>
      </c>
      <c r="Z119" s="84"/>
      <c r="AA119" s="82"/>
      <c r="AB119" s="52"/>
    </row>
    <row r="120" spans="1:28" s="40" customFormat="1" ht="39.950000000000003" hidden="1" customHeight="1" x14ac:dyDescent="0.25">
      <c r="A120" s="94">
        <v>18</v>
      </c>
      <c r="B120" s="50" t="s">
        <v>43</v>
      </c>
      <c r="C120" s="56" t="str">
        <f t="shared" si="247"/>
        <v>HDKOTE/1714</v>
      </c>
      <c r="D120" s="51" t="s">
        <v>141</v>
      </c>
      <c r="E120" s="55" t="str">
        <f t="shared" ref="E120:F120" si="279">E119</f>
        <v>HDTCL2809</v>
      </c>
      <c r="F120" s="50">
        <f t="shared" si="279"/>
        <v>3</v>
      </c>
      <c r="G120" s="49" t="s">
        <v>221</v>
      </c>
      <c r="H120" s="64" t="s">
        <v>222</v>
      </c>
      <c r="I120" s="49">
        <f t="shared" ref="I120:J120" si="280">I119</f>
        <v>3</v>
      </c>
      <c r="J120" s="49" t="str">
        <f t="shared" si="280"/>
        <v>LT 3</v>
      </c>
      <c r="K120" s="84">
        <f>HDTCL2809!Q25</f>
        <v>3646</v>
      </c>
      <c r="L120" s="84">
        <f>HDTCL2809!P25</f>
        <v>3845</v>
      </c>
      <c r="M120" s="84">
        <f>M119</f>
        <v>1</v>
      </c>
      <c r="N120" s="84">
        <f t="shared" ref="N120:N123" si="281">(L120-K120)*M120</f>
        <v>199</v>
      </c>
      <c r="O120" s="84">
        <f>HDTCL2809!F25</f>
        <v>1511</v>
      </c>
      <c r="P120" s="84">
        <f>HDTCL2809!E25</f>
        <v>1593.3</v>
      </c>
      <c r="Q120" s="84">
        <f t="shared" si="250"/>
        <v>1</v>
      </c>
      <c r="R120" s="84">
        <f t="shared" ref="R120:R123" si="282">(P120-O120)*Q120</f>
        <v>82.299999999999955</v>
      </c>
      <c r="S120" s="84">
        <f>HDTCL2809!K25</f>
        <v>2413.1999999999998</v>
      </c>
      <c r="T120" s="84">
        <f>HDTCL2809!J25</f>
        <v>2518.3000000000002</v>
      </c>
      <c r="U120" s="84">
        <f>U119</f>
        <v>1</v>
      </c>
      <c r="V120" s="84">
        <f t="shared" ref="V120:V123" si="283">(T120-S120)*U120</f>
        <v>105.10000000000036</v>
      </c>
      <c r="W120" s="84"/>
      <c r="X120" s="84"/>
      <c r="Y120" s="85">
        <f t="shared" ref="Y120:Y123" si="284">N120/30/I120</f>
        <v>2.2111111111111112</v>
      </c>
      <c r="Z120" s="84"/>
      <c r="AA120" s="82"/>
      <c r="AB120" s="52"/>
    </row>
    <row r="121" spans="1:28" s="40" customFormat="1" ht="39.950000000000003" hidden="1" customHeight="1" x14ac:dyDescent="0.25">
      <c r="A121" s="95">
        <v>19</v>
      </c>
      <c r="B121" s="50" t="s">
        <v>43</v>
      </c>
      <c r="C121" s="56" t="str">
        <f t="shared" si="247"/>
        <v>HDKOTE/1714</v>
      </c>
      <c r="D121" s="51" t="s">
        <v>141</v>
      </c>
      <c r="E121" s="55" t="str">
        <f t="shared" ref="E121:F121" si="285">E120</f>
        <v>HDTCL2809</v>
      </c>
      <c r="F121" s="50">
        <f t="shared" si="285"/>
        <v>3</v>
      </c>
      <c r="G121" s="49" t="s">
        <v>221</v>
      </c>
      <c r="H121" s="64" t="s">
        <v>222</v>
      </c>
      <c r="I121" s="49">
        <f t="shared" ref="I121:J121" si="286">I120</f>
        <v>3</v>
      </c>
      <c r="J121" s="49" t="str">
        <f t="shared" si="286"/>
        <v>LT 3</v>
      </c>
      <c r="K121" s="84">
        <f>HDTCL2809!Q26</f>
        <v>3845</v>
      </c>
      <c r="L121" s="84">
        <f>HDTCL2809!P26</f>
        <v>3938</v>
      </c>
      <c r="M121" s="84">
        <f>M120</f>
        <v>1</v>
      </c>
      <c r="N121" s="84">
        <f t="shared" si="281"/>
        <v>93</v>
      </c>
      <c r="O121" s="84">
        <f>HDTCL2809!F26</f>
        <v>1593.3</v>
      </c>
      <c r="P121" s="84">
        <f>HDTCL2809!E26</f>
        <v>1690.2</v>
      </c>
      <c r="Q121" s="84">
        <f t="shared" si="250"/>
        <v>1</v>
      </c>
      <c r="R121" s="84">
        <f t="shared" si="282"/>
        <v>96.900000000000091</v>
      </c>
      <c r="S121" s="84">
        <f>HDTCL2809!K26</f>
        <v>2518.3000000000002</v>
      </c>
      <c r="T121" s="84">
        <f>HDTCL2809!J26</f>
        <v>2595</v>
      </c>
      <c r="U121" s="84">
        <f>U120</f>
        <v>1</v>
      </c>
      <c r="V121" s="84">
        <f t="shared" si="283"/>
        <v>76.699999999999818</v>
      </c>
      <c r="W121" s="84"/>
      <c r="X121" s="84"/>
      <c r="Y121" s="85">
        <f t="shared" si="284"/>
        <v>1.0333333333333334</v>
      </c>
      <c r="Z121" s="84"/>
      <c r="AA121" s="82"/>
      <c r="AB121" s="52"/>
    </row>
    <row r="122" spans="1:28" s="40" customFormat="1" ht="39.950000000000003" hidden="1" customHeight="1" x14ac:dyDescent="0.25">
      <c r="A122" s="49">
        <v>20</v>
      </c>
      <c r="B122" s="50" t="s">
        <v>43</v>
      </c>
      <c r="C122" s="56" t="str">
        <f t="shared" si="247"/>
        <v>HDKOTE/1714</v>
      </c>
      <c r="D122" s="51" t="s">
        <v>141</v>
      </c>
      <c r="E122" s="55" t="str">
        <f t="shared" ref="E122:F122" si="287">E121</f>
        <v>HDTCL2809</v>
      </c>
      <c r="F122" s="50">
        <f t="shared" si="287"/>
        <v>3</v>
      </c>
      <c r="G122" s="49" t="s">
        <v>221</v>
      </c>
      <c r="H122" s="64" t="s">
        <v>222</v>
      </c>
      <c r="I122" s="49">
        <f t="shared" ref="I122:J122" si="288">I121</f>
        <v>3</v>
      </c>
      <c r="J122" s="49" t="str">
        <f t="shared" si="288"/>
        <v>LT 3</v>
      </c>
      <c r="K122" s="84">
        <f>HDTCL2809!Q27</f>
        <v>3938</v>
      </c>
      <c r="L122" s="84">
        <f>HDTCL2809!P27</f>
        <v>4030</v>
      </c>
      <c r="M122" s="84">
        <f>M121</f>
        <v>1</v>
      </c>
      <c r="N122" s="84">
        <f t="shared" si="281"/>
        <v>92</v>
      </c>
      <c r="O122" s="84">
        <f>HDTCL2809!F27</f>
        <v>1690.2</v>
      </c>
      <c r="P122" s="84">
        <f>HDTCL2809!E27</f>
        <v>1784</v>
      </c>
      <c r="Q122" s="84">
        <f t="shared" si="250"/>
        <v>1</v>
      </c>
      <c r="R122" s="84">
        <f t="shared" si="282"/>
        <v>93.799999999999955</v>
      </c>
      <c r="S122" s="84">
        <f>HDTCL2809!K27</f>
        <v>2595</v>
      </c>
      <c r="T122" s="84">
        <f>HDTCL2809!J27</f>
        <v>2675.8</v>
      </c>
      <c r="U122" s="84">
        <f>U121</f>
        <v>1</v>
      </c>
      <c r="V122" s="84">
        <f t="shared" si="283"/>
        <v>80.800000000000182</v>
      </c>
      <c r="W122" s="84"/>
      <c r="X122" s="84"/>
      <c r="Y122" s="85">
        <f t="shared" si="284"/>
        <v>1.0222222222222224</v>
      </c>
      <c r="Z122" s="84"/>
      <c r="AA122" s="82"/>
      <c r="AB122" s="52"/>
    </row>
    <row r="123" spans="1:28" s="40" customFormat="1" ht="39.950000000000003" hidden="1" customHeight="1" x14ac:dyDescent="0.25">
      <c r="A123" s="49">
        <v>21</v>
      </c>
      <c r="B123" s="50" t="s">
        <v>43</v>
      </c>
      <c r="C123" s="56" t="str">
        <f t="shared" si="247"/>
        <v>HDKOTE/1714</v>
      </c>
      <c r="D123" s="51" t="s">
        <v>141</v>
      </c>
      <c r="E123" s="55" t="str">
        <f t="shared" ref="E123:F123" si="289">E122</f>
        <v>HDTCL2809</v>
      </c>
      <c r="F123" s="50">
        <f t="shared" si="289"/>
        <v>3</v>
      </c>
      <c r="G123" s="49" t="s">
        <v>221</v>
      </c>
      <c r="H123" s="64" t="s">
        <v>222</v>
      </c>
      <c r="I123" s="49">
        <f t="shared" ref="I123:J123" si="290">I122</f>
        <v>3</v>
      </c>
      <c r="J123" s="49" t="str">
        <f t="shared" si="290"/>
        <v>LT 3</v>
      </c>
      <c r="K123" s="84">
        <f>HDTCL2809!Q28</f>
        <v>4030</v>
      </c>
      <c r="L123" s="84">
        <f>HDTCL2809!P28</f>
        <v>4237</v>
      </c>
      <c r="M123" s="84">
        <f>'[1]April-18'!M29</f>
        <v>1</v>
      </c>
      <c r="N123" s="84">
        <f t="shared" si="281"/>
        <v>207</v>
      </c>
      <c r="O123" s="84">
        <f>HDTCL2809!F28</f>
        <v>1784</v>
      </c>
      <c r="P123" s="84">
        <f>HDTCL2809!E28</f>
        <v>1889.8</v>
      </c>
      <c r="Q123" s="84">
        <f t="shared" si="250"/>
        <v>1</v>
      </c>
      <c r="R123" s="84">
        <f t="shared" si="282"/>
        <v>105.79999999999995</v>
      </c>
      <c r="S123" s="84">
        <f>HDTCL2809!K28</f>
        <v>2675.8</v>
      </c>
      <c r="T123" s="84">
        <f>HDTCL2809!J28</f>
        <v>2775.4</v>
      </c>
      <c r="U123" s="84">
        <f>'[1]April-18'!U29</f>
        <v>1</v>
      </c>
      <c r="V123" s="84">
        <f t="shared" si="283"/>
        <v>99.599999999999909</v>
      </c>
      <c r="W123" s="84"/>
      <c r="X123" s="84"/>
      <c r="Y123" s="85">
        <f t="shared" si="284"/>
        <v>2.3000000000000003</v>
      </c>
      <c r="Z123" s="84"/>
      <c r="AA123" s="82"/>
      <c r="AB123" s="52"/>
    </row>
    <row r="124" spans="1:28" s="40" customFormat="1" ht="39.950000000000003" hidden="1" customHeight="1" x14ac:dyDescent="0.25">
      <c r="A124" s="49">
        <v>22</v>
      </c>
      <c r="B124" s="50" t="s">
        <v>43</v>
      </c>
      <c r="C124" s="56" t="str">
        <f t="shared" si="247"/>
        <v>HDKOTE/1714</v>
      </c>
      <c r="D124" s="51" t="s">
        <v>141</v>
      </c>
      <c r="E124" s="55" t="str">
        <f t="shared" ref="E124:F127" si="291">E123</f>
        <v>HDTCL2809</v>
      </c>
      <c r="F124" s="50">
        <f t="shared" si="291"/>
        <v>3</v>
      </c>
      <c r="G124" s="49" t="s">
        <v>221</v>
      </c>
      <c r="H124" s="64" t="s">
        <v>222</v>
      </c>
      <c r="I124" s="49">
        <f t="shared" ref="I124:J127" si="292">I123</f>
        <v>3</v>
      </c>
      <c r="J124" s="49" t="str">
        <f t="shared" si="292"/>
        <v>LT 3</v>
      </c>
      <c r="K124" s="84">
        <f>HDTCL2809!Q29</f>
        <v>4237</v>
      </c>
      <c r="L124" s="84">
        <f>HDTCL2809!P29</f>
        <v>4480</v>
      </c>
      <c r="M124" s="84">
        <f>M123</f>
        <v>1</v>
      </c>
      <c r="N124" s="84">
        <f t="shared" ref="N124:N125" si="293">(L124-K124)*M124</f>
        <v>243</v>
      </c>
      <c r="O124" s="84">
        <f>HDTCL2809!F29</f>
        <v>1889.8</v>
      </c>
      <c r="P124" s="84">
        <f>HDTCL2809!E29</f>
        <v>1975.2</v>
      </c>
      <c r="Q124" s="84">
        <f t="shared" si="250"/>
        <v>1</v>
      </c>
      <c r="R124" s="84">
        <f t="shared" ref="R124:R125" si="294">(P124-O124)*Q124</f>
        <v>85.400000000000091</v>
      </c>
      <c r="S124" s="84">
        <f>HDTCL2809!K29</f>
        <v>2775.4</v>
      </c>
      <c r="T124" s="84">
        <f>HDTCL2809!J29</f>
        <v>2966.3</v>
      </c>
      <c r="U124" s="84">
        <f>U123</f>
        <v>1</v>
      </c>
      <c r="V124" s="84">
        <f t="shared" ref="V124:V125" si="295">(T124-S124)*U124</f>
        <v>190.90000000000009</v>
      </c>
      <c r="W124" s="84"/>
      <c r="X124" s="84"/>
      <c r="Y124" s="85">
        <f t="shared" ref="Y124:Y125" si="296">N124/30/I124</f>
        <v>2.6999999999999997</v>
      </c>
      <c r="Z124" s="84"/>
      <c r="AA124" s="82"/>
      <c r="AB124" s="52"/>
    </row>
    <row r="125" spans="1:28" s="40" customFormat="1" ht="39.950000000000003" hidden="1" customHeight="1" x14ac:dyDescent="0.25">
      <c r="A125" s="49">
        <v>23</v>
      </c>
      <c r="B125" s="50" t="s">
        <v>43</v>
      </c>
      <c r="C125" s="56" t="str">
        <f t="shared" si="247"/>
        <v>HDKOTE/1714</v>
      </c>
      <c r="D125" s="51" t="s">
        <v>141</v>
      </c>
      <c r="E125" s="55" t="str">
        <f t="shared" ref="E125:F125" si="297">E124</f>
        <v>HDTCL2809</v>
      </c>
      <c r="F125" s="50">
        <f t="shared" si="297"/>
        <v>3</v>
      </c>
      <c r="G125" s="49" t="s">
        <v>221</v>
      </c>
      <c r="H125" s="64" t="s">
        <v>222</v>
      </c>
      <c r="I125" s="49">
        <f t="shared" ref="I125:J125" si="298">I124</f>
        <v>3</v>
      </c>
      <c r="J125" s="49" t="str">
        <f t="shared" si="298"/>
        <v>LT 3</v>
      </c>
      <c r="K125" s="84">
        <f>HDTCL2809!Q31</f>
        <v>4480</v>
      </c>
      <c r="L125" s="84">
        <f>HDTCL2809!P31</f>
        <v>4730</v>
      </c>
      <c r="M125" s="84">
        <f>M124</f>
        <v>1</v>
      </c>
      <c r="N125" s="84">
        <f t="shared" si="293"/>
        <v>250</v>
      </c>
      <c r="O125" s="84">
        <f>HDTCL2809!F31</f>
        <v>1975.2</v>
      </c>
      <c r="P125" s="84">
        <f>HDTCL2809!E31</f>
        <v>2065.1999999999998</v>
      </c>
      <c r="Q125" s="84">
        <f t="shared" si="250"/>
        <v>1</v>
      </c>
      <c r="R125" s="84">
        <f t="shared" si="294"/>
        <v>89.999999999999773</v>
      </c>
      <c r="S125" s="84">
        <f>HDTCL2809!K31</f>
        <v>2966.3</v>
      </c>
      <c r="T125" s="84">
        <f>HDTCL2809!J31</f>
        <v>3162.3</v>
      </c>
      <c r="U125" s="84">
        <f>U124</f>
        <v>1</v>
      </c>
      <c r="V125" s="84">
        <f t="shared" si="295"/>
        <v>196</v>
      </c>
      <c r="W125" s="84"/>
      <c r="X125" s="84"/>
      <c r="Y125" s="85">
        <f t="shared" si="296"/>
        <v>2.7777777777777781</v>
      </c>
      <c r="Z125" s="84"/>
      <c r="AA125" s="82"/>
      <c r="AB125" s="52"/>
    </row>
    <row r="126" spans="1:28" s="40" customFormat="1" ht="39.950000000000003" hidden="1" customHeight="1" x14ac:dyDescent="0.25">
      <c r="A126" s="49">
        <v>24</v>
      </c>
      <c r="B126" s="50" t="s">
        <v>43</v>
      </c>
      <c r="C126" s="56" t="str">
        <f t="shared" si="247"/>
        <v>HDKOTE/1714</v>
      </c>
      <c r="D126" s="51" t="s">
        <v>141</v>
      </c>
      <c r="E126" s="55" t="str">
        <f t="shared" si="291"/>
        <v>HDTCL2809</v>
      </c>
      <c r="F126" s="50">
        <f t="shared" si="291"/>
        <v>3</v>
      </c>
      <c r="G126" s="49" t="s">
        <v>221</v>
      </c>
      <c r="H126" s="64" t="s">
        <v>222</v>
      </c>
      <c r="I126" s="49">
        <f t="shared" si="292"/>
        <v>3</v>
      </c>
      <c r="J126" s="49" t="str">
        <f t="shared" si="292"/>
        <v>LT 3</v>
      </c>
      <c r="K126" s="84">
        <f>HDTCL2809!Q32</f>
        <v>4730</v>
      </c>
      <c r="L126" s="84">
        <f>HDTCL2809!P32</f>
        <v>4982</v>
      </c>
      <c r="M126" s="84">
        <f>M125</f>
        <v>1</v>
      </c>
      <c r="N126" s="84">
        <f t="shared" ref="N126:N130" si="299">(L126-K126)*M126</f>
        <v>252</v>
      </c>
      <c r="O126" s="84">
        <f>HDTCL2809!F32</f>
        <v>2065.1999999999998</v>
      </c>
      <c r="P126" s="84">
        <f>HDTCL2809!E32</f>
        <v>2099.8000000000002</v>
      </c>
      <c r="Q126" s="84">
        <f t="shared" si="250"/>
        <v>1</v>
      </c>
      <c r="R126" s="84">
        <f t="shared" ref="R126:R130" si="300">(P126-O126)*Q126</f>
        <v>34.600000000000364</v>
      </c>
      <c r="S126" s="84">
        <f>HDTCL2809!K32</f>
        <v>3162.3</v>
      </c>
      <c r="T126" s="84">
        <f>HDTCL2809!J32</f>
        <v>3369.1</v>
      </c>
      <c r="U126" s="84">
        <f>U125</f>
        <v>1</v>
      </c>
      <c r="V126" s="84">
        <f t="shared" ref="V126:V130" si="301">(T126-S126)*U126</f>
        <v>206.79999999999973</v>
      </c>
      <c r="W126" s="84"/>
      <c r="X126" s="84"/>
      <c r="Y126" s="85">
        <f t="shared" ref="Y126:Y130" si="302">N126/30/I126</f>
        <v>2.8000000000000003</v>
      </c>
      <c r="Z126" s="84"/>
      <c r="AA126" s="82"/>
      <c r="AB126" s="52"/>
    </row>
    <row r="127" spans="1:28" s="40" customFormat="1" ht="39.950000000000003" hidden="1" customHeight="1" x14ac:dyDescent="0.25">
      <c r="A127" s="49">
        <v>25</v>
      </c>
      <c r="B127" s="50" t="s">
        <v>43</v>
      </c>
      <c r="C127" s="56" t="str">
        <f t="shared" si="247"/>
        <v>HDKOTE/1714</v>
      </c>
      <c r="D127" s="51" t="s">
        <v>141</v>
      </c>
      <c r="E127" s="55" t="str">
        <f t="shared" si="291"/>
        <v>HDTCL2809</v>
      </c>
      <c r="F127" s="50">
        <f t="shared" si="291"/>
        <v>3</v>
      </c>
      <c r="G127" s="49" t="s">
        <v>221</v>
      </c>
      <c r="H127" s="64" t="s">
        <v>222</v>
      </c>
      <c r="I127" s="49">
        <f t="shared" si="292"/>
        <v>3</v>
      </c>
      <c r="J127" s="49" t="str">
        <f t="shared" si="292"/>
        <v>LT 3</v>
      </c>
      <c r="K127" s="84">
        <f>HDTCL2809!Q33</f>
        <v>4982</v>
      </c>
      <c r="L127" s="84">
        <f>HDTCL2809!P33</f>
        <v>5240</v>
      </c>
      <c r="M127" s="84">
        <f>M126</f>
        <v>1</v>
      </c>
      <c r="N127" s="84">
        <f t="shared" si="299"/>
        <v>258</v>
      </c>
      <c r="O127" s="84">
        <f>HDTCL2809!F33</f>
        <v>2099.8000000000002</v>
      </c>
      <c r="P127" s="84">
        <f>HDTCL2809!E33</f>
        <v>2160.9</v>
      </c>
      <c r="Q127" s="84">
        <f t="shared" si="250"/>
        <v>1</v>
      </c>
      <c r="R127" s="84">
        <f t="shared" si="300"/>
        <v>61.099999999999909</v>
      </c>
      <c r="S127" s="84">
        <f>HDTCL2809!K33</f>
        <v>3369.1</v>
      </c>
      <c r="T127" s="84">
        <f>HDTCL2809!J33</f>
        <v>3549.4</v>
      </c>
      <c r="U127" s="84">
        <f>U126</f>
        <v>1</v>
      </c>
      <c r="V127" s="84">
        <f t="shared" si="301"/>
        <v>180.30000000000018</v>
      </c>
      <c r="W127" s="84"/>
      <c r="X127" s="84"/>
      <c r="Y127" s="85">
        <f t="shared" si="302"/>
        <v>2.8666666666666667</v>
      </c>
      <c r="Z127" s="84"/>
      <c r="AA127" s="82"/>
      <c r="AB127" s="52"/>
    </row>
    <row r="128" spans="1:28" s="40" customFormat="1" ht="39.950000000000003" hidden="1" customHeight="1" x14ac:dyDescent="0.25">
      <c r="A128" s="49">
        <v>26</v>
      </c>
      <c r="B128" s="50" t="s">
        <v>43</v>
      </c>
      <c r="C128" s="56" t="str">
        <f t="shared" si="247"/>
        <v>HDKOTE/1714</v>
      </c>
      <c r="D128" s="51" t="s">
        <v>141</v>
      </c>
      <c r="E128" s="55" t="str">
        <f t="shared" ref="E128:F128" si="303">E127</f>
        <v>HDTCL2809</v>
      </c>
      <c r="F128" s="50">
        <f t="shared" si="303"/>
        <v>3</v>
      </c>
      <c r="G128" s="49" t="s">
        <v>221</v>
      </c>
      <c r="H128" s="64" t="s">
        <v>222</v>
      </c>
      <c r="I128" s="49">
        <f t="shared" ref="I128:J128" si="304">I127</f>
        <v>3</v>
      </c>
      <c r="J128" s="49" t="str">
        <f t="shared" si="304"/>
        <v>LT 3</v>
      </c>
      <c r="K128" s="84">
        <f>HDTCL2809!Q34</f>
        <v>5240</v>
      </c>
      <c r="L128" s="84">
        <f>HDTCL2809!P34</f>
        <v>5456</v>
      </c>
      <c r="M128" s="84">
        <f>'[1]April-18'!M34</f>
        <v>1</v>
      </c>
      <c r="N128" s="84">
        <f t="shared" si="299"/>
        <v>216</v>
      </c>
      <c r="O128" s="84">
        <f>HDTCL2809!F34</f>
        <v>2160.9</v>
      </c>
      <c r="P128" s="84">
        <f>HDTCL2809!E34</f>
        <v>2236.5</v>
      </c>
      <c r="Q128" s="84">
        <f t="shared" si="250"/>
        <v>1</v>
      </c>
      <c r="R128" s="84">
        <f t="shared" si="300"/>
        <v>75.599999999999909</v>
      </c>
      <c r="S128" s="84">
        <f>HDTCL2809!K34</f>
        <v>3549.4</v>
      </c>
      <c r="T128" s="84">
        <f>HDTCL2809!J34</f>
        <v>3699.8</v>
      </c>
      <c r="U128" s="84">
        <f>'[1]April-18'!U34</f>
        <v>1</v>
      </c>
      <c r="V128" s="84">
        <f t="shared" si="301"/>
        <v>150.40000000000009</v>
      </c>
      <c r="W128" s="84"/>
      <c r="X128" s="84"/>
      <c r="Y128" s="85">
        <f t="shared" si="302"/>
        <v>2.4</v>
      </c>
      <c r="Z128" s="84"/>
      <c r="AA128" s="82"/>
      <c r="AB128" s="52"/>
    </row>
    <row r="129" spans="1:28" s="40" customFormat="1" ht="39.950000000000003" hidden="1" customHeight="1" x14ac:dyDescent="0.25">
      <c r="A129" s="49">
        <v>27</v>
      </c>
      <c r="B129" s="50" t="s">
        <v>43</v>
      </c>
      <c r="C129" s="56" t="str">
        <f t="shared" si="247"/>
        <v>HDKOTE/1714</v>
      </c>
      <c r="D129" s="51" t="s">
        <v>141</v>
      </c>
      <c r="E129" s="55" t="str">
        <f t="shared" ref="E129:F129" si="305">E128</f>
        <v>HDTCL2809</v>
      </c>
      <c r="F129" s="50">
        <f t="shared" si="305"/>
        <v>3</v>
      </c>
      <c r="G129" s="49" t="s">
        <v>221</v>
      </c>
      <c r="H129" s="64" t="s">
        <v>222</v>
      </c>
      <c r="I129" s="49">
        <f t="shared" ref="I129:J129" si="306">I128</f>
        <v>3</v>
      </c>
      <c r="J129" s="49" t="str">
        <f t="shared" si="306"/>
        <v>LT 3</v>
      </c>
      <c r="K129" s="84">
        <f>HDTCL2809!Q35</f>
        <v>5456</v>
      </c>
      <c r="L129" s="84">
        <f>HDTCL2809!P35</f>
        <v>5673</v>
      </c>
      <c r="M129" s="84">
        <f t="shared" ref="M129:M132" si="307">M128</f>
        <v>1</v>
      </c>
      <c r="N129" s="84">
        <f t="shared" si="299"/>
        <v>217</v>
      </c>
      <c r="O129" s="84">
        <f>HDTCL2809!F35</f>
        <v>2236.5</v>
      </c>
      <c r="P129" s="84">
        <f>HDTCL2809!E35</f>
        <v>2315.8000000000002</v>
      </c>
      <c r="Q129" s="84">
        <f t="shared" si="250"/>
        <v>1</v>
      </c>
      <c r="R129" s="84">
        <f t="shared" si="300"/>
        <v>79.300000000000182</v>
      </c>
      <c r="S129" s="84">
        <f>HDTCL2809!K35</f>
        <v>3699.8</v>
      </c>
      <c r="T129" s="84">
        <f>HDTCL2809!J35</f>
        <v>3867</v>
      </c>
      <c r="U129" s="84">
        <f t="shared" ref="U129:U132" si="308">U128</f>
        <v>1</v>
      </c>
      <c r="V129" s="84">
        <f t="shared" si="301"/>
        <v>167.19999999999982</v>
      </c>
      <c r="W129" s="84"/>
      <c r="X129" s="84"/>
      <c r="Y129" s="85">
        <f t="shared" si="302"/>
        <v>2.411111111111111</v>
      </c>
      <c r="Z129" s="84"/>
      <c r="AA129" s="82"/>
      <c r="AB129" s="52"/>
    </row>
    <row r="130" spans="1:28" s="40" customFormat="1" ht="39.950000000000003" hidden="1" customHeight="1" x14ac:dyDescent="0.25">
      <c r="A130" s="49">
        <v>28</v>
      </c>
      <c r="B130" s="50" t="s">
        <v>43</v>
      </c>
      <c r="C130" s="56" t="str">
        <f t="shared" si="247"/>
        <v>HDKOTE/1714</v>
      </c>
      <c r="D130" s="51" t="s">
        <v>141</v>
      </c>
      <c r="E130" s="55" t="str">
        <f t="shared" ref="E130:F132" si="309">E129</f>
        <v>HDTCL2809</v>
      </c>
      <c r="F130" s="50">
        <f t="shared" si="309"/>
        <v>3</v>
      </c>
      <c r="G130" s="49" t="s">
        <v>221</v>
      </c>
      <c r="H130" s="64" t="s">
        <v>222</v>
      </c>
      <c r="I130" s="49">
        <f t="shared" ref="I130:J132" si="310">I129</f>
        <v>3</v>
      </c>
      <c r="J130" s="49" t="str">
        <f t="shared" si="310"/>
        <v>LT 3</v>
      </c>
      <c r="K130" s="84">
        <f>HDTCL2809!Q36</f>
        <v>5673</v>
      </c>
      <c r="L130" s="84">
        <f>HDTCL2809!P36</f>
        <v>5913</v>
      </c>
      <c r="M130" s="84">
        <f t="shared" si="307"/>
        <v>1</v>
      </c>
      <c r="N130" s="84">
        <f t="shared" si="299"/>
        <v>240</v>
      </c>
      <c r="O130" s="84">
        <f>HDTCL2809!F36</f>
        <v>2315.8000000000002</v>
      </c>
      <c r="P130" s="84">
        <f>HDTCL2809!E36</f>
        <v>2389.3000000000002</v>
      </c>
      <c r="Q130" s="84">
        <f t="shared" si="250"/>
        <v>1</v>
      </c>
      <c r="R130" s="84">
        <f t="shared" si="300"/>
        <v>73.5</v>
      </c>
      <c r="S130" s="84">
        <f>HDTCL2809!K36</f>
        <v>3867</v>
      </c>
      <c r="T130" s="84">
        <f>HDTCL2809!J36</f>
        <v>4050.2</v>
      </c>
      <c r="U130" s="84">
        <f t="shared" si="308"/>
        <v>1</v>
      </c>
      <c r="V130" s="84">
        <f t="shared" si="301"/>
        <v>183.19999999999982</v>
      </c>
      <c r="W130" s="84">
        <f>HDTCL2809!U36</f>
        <v>2.11</v>
      </c>
      <c r="X130" s="84">
        <f>HDTCL2809!V36</f>
        <v>0.97</v>
      </c>
      <c r="Y130" s="85">
        <f t="shared" si="302"/>
        <v>2.6666666666666665</v>
      </c>
      <c r="Z130" s="84"/>
      <c r="AA130" s="82"/>
      <c r="AB130" s="52"/>
    </row>
    <row r="131" spans="1:28" s="40" customFormat="1" ht="39.950000000000003" hidden="1" customHeight="1" x14ac:dyDescent="0.25">
      <c r="A131" s="49">
        <v>29</v>
      </c>
      <c r="B131" s="50" t="s">
        <v>43</v>
      </c>
      <c r="C131" s="56" t="str">
        <f t="shared" si="247"/>
        <v>HDKOTE/1714</v>
      </c>
      <c r="D131" s="51" t="s">
        <v>141</v>
      </c>
      <c r="E131" s="55" t="str">
        <f t="shared" ref="E131:F131" si="311">E130</f>
        <v>HDTCL2809</v>
      </c>
      <c r="F131" s="50">
        <f t="shared" si="311"/>
        <v>3</v>
      </c>
      <c r="G131" s="49" t="s">
        <v>221</v>
      </c>
      <c r="H131" s="64" t="s">
        <v>222</v>
      </c>
      <c r="I131" s="49">
        <f t="shared" ref="I131:J131" si="312">I130</f>
        <v>3</v>
      </c>
      <c r="J131" s="49" t="str">
        <f t="shared" si="312"/>
        <v>LT 3</v>
      </c>
      <c r="K131" s="84">
        <f>HDTCL2809!Q37</f>
        <v>5913</v>
      </c>
      <c r="L131" s="84">
        <f>HDTCL2809!P37</f>
        <v>6124</v>
      </c>
      <c r="M131" s="84">
        <f t="shared" si="307"/>
        <v>1</v>
      </c>
      <c r="N131" s="84">
        <f t="shared" ref="N131:N134" si="313">(L131-K131)*M131</f>
        <v>211</v>
      </c>
      <c r="O131" s="84">
        <f>HDTCL2809!F37</f>
        <v>2389.3000000000002</v>
      </c>
      <c r="P131" s="84">
        <f>HDTCL2809!E37</f>
        <v>2499.3000000000002</v>
      </c>
      <c r="Q131" s="84">
        <f t="shared" si="250"/>
        <v>1</v>
      </c>
      <c r="R131" s="84">
        <f t="shared" ref="R131:R134" si="314">(P131-O131)*Q131</f>
        <v>110</v>
      </c>
      <c r="S131" s="84">
        <f>HDTCL2809!K37</f>
        <v>4050.2</v>
      </c>
      <c r="T131" s="84">
        <f>HDTCL2809!J37</f>
        <v>4164.8999999999996</v>
      </c>
      <c r="U131" s="84">
        <f t="shared" si="308"/>
        <v>1</v>
      </c>
      <c r="V131" s="84">
        <f t="shared" ref="V131:V134" si="315">(T131-S131)*U131</f>
        <v>114.69999999999982</v>
      </c>
      <c r="W131" s="84">
        <f>HDTCL2809!U37</f>
        <v>2.17</v>
      </c>
      <c r="X131" s="84">
        <f>HDTCL2809!V37</f>
        <v>0.97</v>
      </c>
      <c r="Y131" s="85">
        <f t="shared" ref="Y131:Y134" si="316">N131/30/I131</f>
        <v>2.3444444444444446</v>
      </c>
      <c r="Z131" s="84"/>
      <c r="AA131" s="82"/>
      <c r="AB131" s="52"/>
    </row>
    <row r="132" spans="1:28" s="40" customFormat="1" ht="39.950000000000003" customHeight="1" x14ac:dyDescent="0.25">
      <c r="A132" s="49">
        <v>30</v>
      </c>
      <c r="B132" s="50" t="s">
        <v>43</v>
      </c>
      <c r="C132" s="56" t="str">
        <f t="shared" si="247"/>
        <v>HDKOTE/1714</v>
      </c>
      <c r="D132" s="51" t="s">
        <v>141</v>
      </c>
      <c r="E132" s="55" t="str">
        <f t="shared" si="309"/>
        <v>HDTCL2809</v>
      </c>
      <c r="F132" s="50">
        <f t="shared" si="309"/>
        <v>3</v>
      </c>
      <c r="G132" s="49" t="s">
        <v>221</v>
      </c>
      <c r="H132" s="64" t="s">
        <v>222</v>
      </c>
      <c r="I132" s="49">
        <f t="shared" si="310"/>
        <v>3</v>
      </c>
      <c r="J132" s="49" t="str">
        <f t="shared" si="310"/>
        <v>LT 3</v>
      </c>
      <c r="K132" s="84">
        <f>HDTCL2809!Q38</f>
        <v>6124</v>
      </c>
      <c r="L132" s="84">
        <f>HDTCL2809!P38</f>
        <v>6225</v>
      </c>
      <c r="M132" s="84">
        <f t="shared" si="307"/>
        <v>1</v>
      </c>
      <c r="N132" s="84">
        <f t="shared" si="313"/>
        <v>101</v>
      </c>
      <c r="O132" s="84">
        <f>HDTCL2809!F38</f>
        <v>2499.3000000000002</v>
      </c>
      <c r="P132" s="84">
        <f>HDTCL2809!E38</f>
        <v>2636.4</v>
      </c>
      <c r="Q132" s="84">
        <f t="shared" si="250"/>
        <v>1</v>
      </c>
      <c r="R132" s="84">
        <f t="shared" si="314"/>
        <v>137.09999999999991</v>
      </c>
      <c r="S132" s="84">
        <f>HDTCL2809!K38</f>
        <v>4164.8999999999996</v>
      </c>
      <c r="T132" s="84">
        <f>HDTCL2809!J38</f>
        <v>4208.8999999999996</v>
      </c>
      <c r="U132" s="84">
        <f t="shared" si="308"/>
        <v>1</v>
      </c>
      <c r="V132" s="84">
        <f t="shared" si="315"/>
        <v>44</v>
      </c>
      <c r="W132" s="84">
        <f>HDTCL2809!U38</f>
        <v>1.97</v>
      </c>
      <c r="X132" s="84">
        <f>HDTCL2809!V38</f>
        <v>0.97</v>
      </c>
      <c r="Y132" s="85">
        <f t="shared" si="316"/>
        <v>1.1222222222222222</v>
      </c>
      <c r="Z132" s="84"/>
      <c r="AA132" s="82"/>
      <c r="AB132" s="52"/>
    </row>
    <row r="133" spans="1:28" s="40" customFormat="1" ht="39.950000000000003" hidden="1" customHeight="1" x14ac:dyDescent="0.25">
      <c r="A133" s="49">
        <v>31</v>
      </c>
      <c r="B133" s="50" t="s">
        <v>43</v>
      </c>
      <c r="C133" s="56" t="str">
        <f t="shared" si="247"/>
        <v>HDKOTE/1714</v>
      </c>
      <c r="D133" s="51" t="s">
        <v>141</v>
      </c>
      <c r="E133" s="55" t="str">
        <f t="shared" ref="E133:F133" si="317">E132</f>
        <v>HDTCL2809</v>
      </c>
      <c r="F133" s="50">
        <f t="shared" si="317"/>
        <v>3</v>
      </c>
      <c r="G133" s="49" t="s">
        <v>221</v>
      </c>
      <c r="H133" s="64" t="s">
        <v>222</v>
      </c>
      <c r="I133" s="49">
        <f t="shared" ref="I133:J133" si="318">I132</f>
        <v>3</v>
      </c>
      <c r="J133" s="49" t="str">
        <f t="shared" si="318"/>
        <v>LT 3</v>
      </c>
      <c r="K133" s="84">
        <f>HDTCL2809!Q76</f>
        <v>0</v>
      </c>
      <c r="L133" s="84">
        <f>HDTCL2809!P76</f>
        <v>0</v>
      </c>
      <c r="M133" s="84" t="e">
        <f>'[1]April-18'!M39</f>
        <v>#REF!</v>
      </c>
      <c r="N133" s="84" t="e">
        <f t="shared" si="313"/>
        <v>#REF!</v>
      </c>
      <c r="O133" s="84">
        <f>HDTCL2809!F76</f>
        <v>0</v>
      </c>
      <c r="P133" s="84">
        <f>HDTCL2809!E76</f>
        <v>0</v>
      </c>
      <c r="Q133" s="84">
        <f t="shared" si="250"/>
        <v>1</v>
      </c>
      <c r="R133" s="84">
        <f t="shared" si="314"/>
        <v>0</v>
      </c>
      <c r="S133" s="84">
        <f>HDTCL2809!K76</f>
        <v>0</v>
      </c>
      <c r="T133" s="84">
        <f>HDTCL2809!J76</f>
        <v>0</v>
      </c>
      <c r="U133" s="84" t="e">
        <f>'[1]April-18'!U39</f>
        <v>#REF!</v>
      </c>
      <c r="V133" s="84" t="e">
        <f t="shared" si="315"/>
        <v>#REF!</v>
      </c>
      <c r="W133" s="84"/>
      <c r="X133" s="84"/>
      <c r="Y133" s="85" t="e">
        <f t="shared" si="316"/>
        <v>#REF!</v>
      </c>
      <c r="Z133" s="84"/>
      <c r="AA133" s="82"/>
      <c r="AB133" s="52"/>
    </row>
    <row r="134" spans="1:28" s="40" customFormat="1" ht="39.950000000000003" hidden="1" customHeight="1" x14ac:dyDescent="0.25">
      <c r="A134" s="49">
        <v>32</v>
      </c>
      <c r="B134" s="50" t="s">
        <v>43</v>
      </c>
      <c r="C134" s="56" t="str">
        <f t="shared" si="247"/>
        <v>HDKOTE/1714</v>
      </c>
      <c r="D134" s="51" t="s">
        <v>141</v>
      </c>
      <c r="E134" s="55" t="str">
        <f t="shared" ref="E134:F134" si="319">E133</f>
        <v>HDTCL2809</v>
      </c>
      <c r="F134" s="50">
        <f t="shared" si="319"/>
        <v>3</v>
      </c>
      <c r="G134" s="49" t="s">
        <v>221</v>
      </c>
      <c r="H134" s="64" t="s">
        <v>222</v>
      </c>
      <c r="I134" s="49">
        <f t="shared" ref="I134:J134" si="320">I133</f>
        <v>3</v>
      </c>
      <c r="J134" s="49" t="str">
        <f t="shared" si="320"/>
        <v>LT 3</v>
      </c>
      <c r="K134" s="84">
        <f>HDTCL2809!Q77</f>
        <v>0</v>
      </c>
      <c r="L134" s="84">
        <f>HDTCL2809!P77</f>
        <v>0</v>
      </c>
      <c r="M134" s="84" t="e">
        <f t="shared" ref="M134" si="321">M133</f>
        <v>#REF!</v>
      </c>
      <c r="N134" s="84" t="e">
        <f t="shared" si="313"/>
        <v>#REF!</v>
      </c>
      <c r="O134" s="84">
        <f>HDTCL2809!F77</f>
        <v>0</v>
      </c>
      <c r="P134" s="84">
        <f>HDTCL2809!E77</f>
        <v>0</v>
      </c>
      <c r="Q134" s="84">
        <f t="shared" si="250"/>
        <v>1</v>
      </c>
      <c r="R134" s="84">
        <f t="shared" si="314"/>
        <v>0</v>
      </c>
      <c r="S134" s="84">
        <f>HDTCL2809!K77</f>
        <v>0</v>
      </c>
      <c r="T134" s="84">
        <f>HDTCL2809!J77</f>
        <v>0</v>
      </c>
      <c r="U134" s="84" t="e">
        <f t="shared" ref="U134" si="322">U133</f>
        <v>#REF!</v>
      </c>
      <c r="V134" s="84" t="e">
        <f t="shared" si="315"/>
        <v>#REF!</v>
      </c>
      <c r="W134" s="84"/>
      <c r="X134" s="84"/>
      <c r="Y134" s="85" t="e">
        <f t="shared" si="316"/>
        <v>#REF!</v>
      </c>
      <c r="Z134" s="84"/>
      <c r="AA134" s="82"/>
      <c r="AB134" s="52"/>
    </row>
    <row r="135" spans="1:28" s="40" customFormat="1" ht="39.950000000000003" hidden="1" customHeight="1" x14ac:dyDescent="0.25">
      <c r="A135" s="49"/>
      <c r="B135" s="50"/>
      <c r="C135" s="56"/>
      <c r="D135" s="51"/>
      <c r="E135" s="55"/>
      <c r="F135" s="50"/>
      <c r="G135" s="49"/>
      <c r="H135" s="64"/>
      <c r="I135" s="49"/>
      <c r="J135" s="49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5"/>
      <c r="Z135" s="84"/>
      <c r="AA135" s="82"/>
      <c r="AB135" s="52"/>
    </row>
    <row r="136" spans="1:28" s="40" customFormat="1" ht="39.950000000000003" hidden="1" customHeight="1" x14ac:dyDescent="0.25">
      <c r="A136" s="49">
        <v>1</v>
      </c>
      <c r="B136" s="50" t="s">
        <v>43</v>
      </c>
      <c r="C136" s="56" t="s">
        <v>229</v>
      </c>
      <c r="D136" s="51" t="s">
        <v>148</v>
      </c>
      <c r="E136" s="55" t="s">
        <v>149</v>
      </c>
      <c r="F136" s="50">
        <v>0.64</v>
      </c>
      <c r="G136" s="49" t="s">
        <v>221</v>
      </c>
      <c r="H136" s="64" t="s">
        <v>222</v>
      </c>
      <c r="I136" s="49">
        <v>3</v>
      </c>
      <c r="J136" s="49" t="s">
        <v>224</v>
      </c>
      <c r="K136" s="84">
        <f>'HKL263'!Q8</f>
        <v>1592.9</v>
      </c>
      <c r="L136" s="87">
        <f>'HKL263'!P8</f>
        <v>1779</v>
      </c>
      <c r="M136" s="87">
        <f>'[1]April-18'!M10</f>
        <v>1</v>
      </c>
      <c r="N136" s="84">
        <f t="shared" si="0"/>
        <v>186.09999999999991</v>
      </c>
      <c r="O136" s="84">
        <f>'HKL263'!F8</f>
        <v>98.6</v>
      </c>
      <c r="P136" s="87">
        <f>'HKL263'!E8</f>
        <v>190</v>
      </c>
      <c r="Q136" s="84">
        <v>1</v>
      </c>
      <c r="R136" s="84">
        <f t="shared" si="7"/>
        <v>91.4</v>
      </c>
      <c r="S136" s="84">
        <f>'HKL263'!K8</f>
        <v>119.4</v>
      </c>
      <c r="T136" s="87">
        <f>'HKL263'!J8</f>
        <v>220</v>
      </c>
      <c r="U136" s="84">
        <f>'[1]April-18'!U10</f>
        <v>1</v>
      </c>
      <c r="V136" s="84">
        <f t="shared" si="8"/>
        <v>100.6</v>
      </c>
      <c r="W136" s="84"/>
      <c r="X136" s="84"/>
      <c r="Y136" s="85">
        <f t="shared" si="87"/>
        <v>2.0677777777777768</v>
      </c>
      <c r="Z136" s="84"/>
      <c r="AA136" s="82" t="str">
        <f>'HKL263'!B8</f>
        <v>01.08.2019</v>
      </c>
    </row>
    <row r="137" spans="1:28" s="40" customFormat="1" ht="39.950000000000003" hidden="1" customHeight="1" x14ac:dyDescent="0.25">
      <c r="A137" s="49">
        <v>2</v>
      </c>
      <c r="B137" s="50" t="s">
        <v>43</v>
      </c>
      <c r="C137" s="56" t="str">
        <f>C136</f>
        <v>HDKOTE/1714</v>
      </c>
      <c r="D137" s="51" t="s">
        <v>148</v>
      </c>
      <c r="E137" s="55" t="str">
        <f>E136</f>
        <v>HKL263</v>
      </c>
      <c r="F137" s="50">
        <f>F136</f>
        <v>0.64</v>
      </c>
      <c r="G137" s="49" t="s">
        <v>221</v>
      </c>
      <c r="H137" s="64" t="s">
        <v>222</v>
      </c>
      <c r="I137" s="49">
        <f>I136</f>
        <v>3</v>
      </c>
      <c r="J137" s="49" t="str">
        <f>J136</f>
        <v>LT 3</v>
      </c>
      <c r="K137" s="84">
        <f>'HKL263'!Q9</f>
        <v>1779</v>
      </c>
      <c r="L137" s="87">
        <f>'HKL263'!P9</f>
        <v>1988</v>
      </c>
      <c r="M137" s="87">
        <f>'[1]April-18'!M11</f>
        <v>1</v>
      </c>
      <c r="N137" s="84">
        <f t="shared" si="0"/>
        <v>209</v>
      </c>
      <c r="O137" s="84">
        <f>'HKL263'!F9</f>
        <v>190</v>
      </c>
      <c r="P137" s="87">
        <f>'HKL263'!E9</f>
        <v>299</v>
      </c>
      <c r="Q137" s="84">
        <f>Q136</f>
        <v>1</v>
      </c>
      <c r="R137" s="84">
        <f t="shared" si="7"/>
        <v>109</v>
      </c>
      <c r="S137" s="84">
        <f>'HKL263'!K9</f>
        <v>220</v>
      </c>
      <c r="T137" s="87">
        <f>'HKL263'!J9</f>
        <v>324</v>
      </c>
      <c r="U137" s="84">
        <f>'[1]April-18'!U11</f>
        <v>1</v>
      </c>
      <c r="V137" s="84">
        <f t="shared" si="8"/>
        <v>104</v>
      </c>
      <c r="W137" s="84"/>
      <c r="X137" s="84"/>
      <c r="Y137" s="85">
        <f t="shared" si="87"/>
        <v>2.3222222222222224</v>
      </c>
      <c r="Z137" s="84"/>
      <c r="AA137" s="82" t="str">
        <f>'HKL263'!B9</f>
        <v>01.09.2019</v>
      </c>
    </row>
    <row r="138" spans="1:28" s="40" customFormat="1" ht="39.950000000000003" hidden="1" customHeight="1" x14ac:dyDescent="0.25">
      <c r="A138" s="49">
        <v>3</v>
      </c>
      <c r="B138" s="50" t="s">
        <v>43</v>
      </c>
      <c r="C138" s="56" t="str">
        <f>C137</f>
        <v>HDKOTE/1714</v>
      </c>
      <c r="D138" s="51" t="s">
        <v>148</v>
      </c>
      <c r="E138" s="55" t="str">
        <f>E137</f>
        <v>HKL263</v>
      </c>
      <c r="F138" s="50">
        <f>F137</f>
        <v>0.64</v>
      </c>
      <c r="G138" s="49" t="s">
        <v>221</v>
      </c>
      <c r="H138" s="64" t="s">
        <v>222</v>
      </c>
      <c r="I138" s="49">
        <f>I137</f>
        <v>3</v>
      </c>
      <c r="J138" s="49" t="str">
        <f>J137</f>
        <v>LT 3</v>
      </c>
      <c r="K138" s="84">
        <f>'HKL263'!Q10</f>
        <v>1988</v>
      </c>
      <c r="L138" s="87">
        <f>'HKL263'!P10</f>
        <v>2209.6</v>
      </c>
      <c r="M138" s="87">
        <f>'[1]April-18'!M12</f>
        <v>1</v>
      </c>
      <c r="N138" s="84">
        <f t="shared" si="0"/>
        <v>221.59999999999991</v>
      </c>
      <c r="O138" s="84">
        <f>'HKL263'!F10</f>
        <v>299</v>
      </c>
      <c r="P138" s="87">
        <f>'HKL263'!E10</f>
        <v>402</v>
      </c>
      <c r="Q138" s="84">
        <f>Q137</f>
        <v>1</v>
      </c>
      <c r="R138" s="84">
        <f t="shared" si="7"/>
        <v>103</v>
      </c>
      <c r="S138" s="84">
        <f>'HKL263'!K10</f>
        <v>324</v>
      </c>
      <c r="T138" s="87">
        <f>'HKL263'!J10</f>
        <v>417</v>
      </c>
      <c r="U138" s="84">
        <f>'[1]April-18'!U12</f>
        <v>1</v>
      </c>
      <c r="V138" s="84">
        <f t="shared" si="8"/>
        <v>93</v>
      </c>
      <c r="W138" s="84"/>
      <c r="X138" s="84"/>
      <c r="Y138" s="85">
        <f t="shared" si="87"/>
        <v>2.4622222222222212</v>
      </c>
      <c r="Z138" s="84"/>
      <c r="AA138" s="82" t="str">
        <f>'HKL263'!B10</f>
        <v>01.10.2019</v>
      </c>
    </row>
    <row r="139" spans="1:28" s="40" customFormat="1" ht="39.950000000000003" hidden="1" customHeight="1" x14ac:dyDescent="0.25">
      <c r="A139" s="49">
        <v>4</v>
      </c>
      <c r="B139" s="50" t="s">
        <v>43</v>
      </c>
      <c r="C139" s="56" t="str">
        <f t="shared" ref="C139:C167" si="323">C138</f>
        <v>HDKOTE/1714</v>
      </c>
      <c r="D139" s="51" t="s">
        <v>148</v>
      </c>
      <c r="E139" s="55" t="str">
        <f t="shared" ref="E139:F142" si="324">E138</f>
        <v>HKL263</v>
      </c>
      <c r="F139" s="50">
        <f t="shared" si="324"/>
        <v>0.64</v>
      </c>
      <c r="G139" s="49" t="s">
        <v>221</v>
      </c>
      <c r="H139" s="64" t="s">
        <v>222</v>
      </c>
      <c r="I139" s="49">
        <f t="shared" ref="I139:J142" si="325">I138</f>
        <v>3</v>
      </c>
      <c r="J139" s="49" t="str">
        <f t="shared" si="325"/>
        <v>LT 3</v>
      </c>
      <c r="K139" s="84">
        <f>'HKL263'!Q11</f>
        <v>2209.6</v>
      </c>
      <c r="L139" s="87">
        <f>'HKL263'!P11</f>
        <v>2428.1</v>
      </c>
      <c r="M139" s="87">
        <f>'[1]April-18'!M13</f>
        <v>1</v>
      </c>
      <c r="N139" s="84">
        <f t="shared" si="0"/>
        <v>218.5</v>
      </c>
      <c r="O139" s="84">
        <f>'HKL263'!F11</f>
        <v>402</v>
      </c>
      <c r="P139" s="87">
        <f>'HKL263'!E11</f>
        <v>529.6</v>
      </c>
      <c r="Q139" s="84">
        <f t="shared" ref="Q139:Q167" si="326">Q138</f>
        <v>1</v>
      </c>
      <c r="R139" s="84">
        <f t="shared" si="7"/>
        <v>127.60000000000002</v>
      </c>
      <c r="S139" s="84">
        <f>'HKL263'!K11</f>
        <v>417</v>
      </c>
      <c r="T139" s="87">
        <f>'HKL263'!J11</f>
        <v>505.8</v>
      </c>
      <c r="U139" s="84">
        <f>'[1]April-18'!U13</f>
        <v>1</v>
      </c>
      <c r="V139" s="84">
        <f t="shared" si="8"/>
        <v>88.800000000000011</v>
      </c>
      <c r="W139" s="84"/>
      <c r="X139" s="84"/>
      <c r="Y139" s="85">
        <f t="shared" si="87"/>
        <v>2.4277777777777776</v>
      </c>
      <c r="Z139" s="84"/>
      <c r="AA139" s="82" t="str">
        <f>'HKL263'!B11</f>
        <v>01.11.2019</v>
      </c>
    </row>
    <row r="140" spans="1:28" s="40" customFormat="1" ht="39.950000000000003" hidden="1" customHeight="1" x14ac:dyDescent="0.25">
      <c r="A140" s="49">
        <v>5</v>
      </c>
      <c r="B140" s="50" t="s">
        <v>43</v>
      </c>
      <c r="C140" s="56" t="str">
        <f t="shared" si="323"/>
        <v>HDKOTE/1714</v>
      </c>
      <c r="D140" s="51" t="s">
        <v>148</v>
      </c>
      <c r="E140" s="55" t="str">
        <f t="shared" si="324"/>
        <v>HKL263</v>
      </c>
      <c r="F140" s="50">
        <f t="shared" si="324"/>
        <v>0.64</v>
      </c>
      <c r="G140" s="49" t="s">
        <v>221</v>
      </c>
      <c r="H140" s="64" t="s">
        <v>222</v>
      </c>
      <c r="I140" s="49">
        <f t="shared" si="325"/>
        <v>3</v>
      </c>
      <c r="J140" s="49" t="str">
        <f t="shared" si="325"/>
        <v>LT 3</v>
      </c>
      <c r="K140" s="84">
        <f>'HKL263'!Q12</f>
        <v>2428.1</v>
      </c>
      <c r="L140" s="87">
        <f>'HKL263'!P12</f>
        <v>2648</v>
      </c>
      <c r="M140" s="87">
        <f>'[1]April-18'!M14</f>
        <v>1</v>
      </c>
      <c r="N140" s="84">
        <f t="shared" si="0"/>
        <v>219.90000000000009</v>
      </c>
      <c r="O140" s="84">
        <f>'HKL263'!F12</f>
        <v>529.6</v>
      </c>
      <c r="P140" s="87">
        <f>'HKL263'!E12</f>
        <v>647.29999999999995</v>
      </c>
      <c r="Q140" s="84">
        <f t="shared" si="326"/>
        <v>1</v>
      </c>
      <c r="R140" s="84">
        <f t="shared" si="7"/>
        <v>117.69999999999993</v>
      </c>
      <c r="S140" s="84">
        <f>'HKL263'!K12</f>
        <v>505.8</v>
      </c>
      <c r="T140" s="87">
        <f>'HKL263'!J12</f>
        <v>705.8</v>
      </c>
      <c r="U140" s="84">
        <f>'[1]April-18'!U14</f>
        <v>1</v>
      </c>
      <c r="V140" s="84">
        <f t="shared" si="8"/>
        <v>199.99999999999994</v>
      </c>
      <c r="W140" s="84"/>
      <c r="X140" s="84"/>
      <c r="Y140" s="85">
        <f t="shared" si="87"/>
        <v>2.4433333333333342</v>
      </c>
      <c r="Z140" s="84"/>
      <c r="AA140" s="82" t="str">
        <f>'HKL263'!B12</f>
        <v>01.12.2019</v>
      </c>
    </row>
    <row r="141" spans="1:28" s="40" customFormat="1" ht="39.950000000000003" hidden="1" customHeight="1" x14ac:dyDescent="0.25">
      <c r="A141" s="49">
        <v>6</v>
      </c>
      <c r="B141" s="50" t="s">
        <v>43</v>
      </c>
      <c r="C141" s="56" t="str">
        <f t="shared" si="323"/>
        <v>HDKOTE/1714</v>
      </c>
      <c r="D141" s="51" t="s">
        <v>148</v>
      </c>
      <c r="E141" s="55" t="str">
        <f t="shared" si="324"/>
        <v>HKL263</v>
      </c>
      <c r="F141" s="50">
        <f t="shared" si="324"/>
        <v>0.64</v>
      </c>
      <c r="G141" s="49" t="s">
        <v>221</v>
      </c>
      <c r="H141" s="64" t="s">
        <v>222</v>
      </c>
      <c r="I141" s="49">
        <f t="shared" si="325"/>
        <v>3</v>
      </c>
      <c r="J141" s="49" t="str">
        <f t="shared" si="325"/>
        <v>LT 3</v>
      </c>
      <c r="K141" s="84">
        <f>'HKL263'!Q13</f>
        <v>2648</v>
      </c>
      <c r="L141" s="87">
        <f>'HKL263'!P13</f>
        <v>2834</v>
      </c>
      <c r="M141" s="87">
        <f>'[1]April-18'!M15</f>
        <v>1</v>
      </c>
      <c r="N141" s="84">
        <f t="shared" si="0"/>
        <v>186</v>
      </c>
      <c r="O141" s="84">
        <f>'HKL263'!F13</f>
        <v>647.29999999999995</v>
      </c>
      <c r="P141" s="87">
        <f>'HKL263'!E13</f>
        <v>766</v>
      </c>
      <c r="Q141" s="84">
        <f t="shared" si="326"/>
        <v>1</v>
      </c>
      <c r="R141" s="84">
        <f t="shared" si="7"/>
        <v>118.70000000000005</v>
      </c>
      <c r="S141" s="84">
        <f>'HKL263'!K13</f>
        <v>705.8</v>
      </c>
      <c r="T141" s="87">
        <f>'HKL263'!J13</f>
        <v>814</v>
      </c>
      <c r="U141" s="84">
        <f>'[1]April-18'!U15</f>
        <v>1</v>
      </c>
      <c r="V141" s="84">
        <f t="shared" si="8"/>
        <v>108.20000000000005</v>
      </c>
      <c r="W141" s="84"/>
      <c r="X141" s="84"/>
      <c r="Y141" s="85">
        <f t="shared" si="87"/>
        <v>2.0666666666666669</v>
      </c>
      <c r="Z141" s="84"/>
      <c r="AA141" s="82" t="str">
        <f>'HKL263'!B13</f>
        <v>01.01.2020</v>
      </c>
    </row>
    <row r="142" spans="1:28" s="40" customFormat="1" ht="39.950000000000003" hidden="1" customHeight="1" x14ac:dyDescent="0.25">
      <c r="A142" s="49">
        <v>7</v>
      </c>
      <c r="B142" s="50" t="s">
        <v>43</v>
      </c>
      <c r="C142" s="56" t="str">
        <f t="shared" si="323"/>
        <v>HDKOTE/1714</v>
      </c>
      <c r="D142" s="51" t="s">
        <v>148</v>
      </c>
      <c r="E142" s="55" t="str">
        <f t="shared" si="324"/>
        <v>HKL263</v>
      </c>
      <c r="F142" s="50">
        <f t="shared" si="324"/>
        <v>0.64</v>
      </c>
      <c r="G142" s="49" t="s">
        <v>221</v>
      </c>
      <c r="H142" s="64" t="s">
        <v>222</v>
      </c>
      <c r="I142" s="49">
        <f t="shared" si="325"/>
        <v>3</v>
      </c>
      <c r="J142" s="49" t="str">
        <f t="shared" si="325"/>
        <v>LT 3</v>
      </c>
      <c r="K142" s="84">
        <f>'HKL263'!Q14</f>
        <v>2834</v>
      </c>
      <c r="L142" s="87">
        <f>'HKL263'!P14</f>
        <v>3088.4</v>
      </c>
      <c r="M142" s="87">
        <f>'[1]April-18'!M16</f>
        <v>1</v>
      </c>
      <c r="N142" s="84">
        <f t="shared" si="0"/>
        <v>254.40000000000009</v>
      </c>
      <c r="O142" s="84">
        <f>'HKL263'!F14</f>
        <v>766</v>
      </c>
      <c r="P142" s="87">
        <f>'HKL263'!E14</f>
        <v>802</v>
      </c>
      <c r="Q142" s="84">
        <f t="shared" si="326"/>
        <v>1</v>
      </c>
      <c r="R142" s="84">
        <f t="shared" si="7"/>
        <v>36</v>
      </c>
      <c r="S142" s="84">
        <f>'HKL263'!K14</f>
        <v>814</v>
      </c>
      <c r="T142" s="87">
        <f>'HKL263'!J14</f>
        <v>928</v>
      </c>
      <c r="U142" s="84">
        <f>'[1]April-18'!U16</f>
        <v>1</v>
      </c>
      <c r="V142" s="84">
        <f t="shared" si="8"/>
        <v>114</v>
      </c>
      <c r="W142" s="84"/>
      <c r="X142" s="84"/>
      <c r="Y142" s="85">
        <f t="shared" si="87"/>
        <v>2.8266666666666675</v>
      </c>
      <c r="Z142" s="84"/>
      <c r="AA142" s="82" t="s">
        <v>253</v>
      </c>
    </row>
    <row r="143" spans="1:28" s="40" customFormat="1" ht="39.950000000000003" hidden="1" customHeight="1" x14ac:dyDescent="0.25">
      <c r="A143" s="49">
        <v>8</v>
      </c>
      <c r="B143" s="50" t="s">
        <v>43</v>
      </c>
      <c r="C143" s="56" t="str">
        <f t="shared" si="323"/>
        <v>HDKOTE/1714</v>
      </c>
      <c r="D143" s="51" t="s">
        <v>148</v>
      </c>
      <c r="E143" s="55" t="str">
        <f t="shared" ref="E143:F143" si="327">E142</f>
        <v>HKL263</v>
      </c>
      <c r="F143" s="50">
        <f t="shared" si="327"/>
        <v>0.64</v>
      </c>
      <c r="G143" s="49" t="s">
        <v>221</v>
      </c>
      <c r="H143" s="64" t="s">
        <v>222</v>
      </c>
      <c r="I143" s="49">
        <f t="shared" ref="I143:J143" si="328">I142</f>
        <v>3</v>
      </c>
      <c r="J143" s="49" t="str">
        <f t="shared" si="328"/>
        <v>LT 3</v>
      </c>
      <c r="K143" s="84">
        <f>'HKL263'!Q15</f>
        <v>3088.4</v>
      </c>
      <c r="L143" s="87">
        <f>'HKL263'!P15</f>
        <v>3215</v>
      </c>
      <c r="M143" s="87">
        <f>'[1]April-18'!M17</f>
        <v>1</v>
      </c>
      <c r="N143" s="84">
        <f t="shared" ref="N143:N150" si="329">(L143-K143)*M143</f>
        <v>126.59999999999991</v>
      </c>
      <c r="O143" s="84">
        <f>'HKL263'!F15</f>
        <v>802</v>
      </c>
      <c r="P143" s="87">
        <f>'HKL263'!E15</f>
        <v>908</v>
      </c>
      <c r="Q143" s="84">
        <f t="shared" si="326"/>
        <v>1</v>
      </c>
      <c r="R143" s="84">
        <f t="shared" ref="R143:R150" si="330">(P143-O143)*Q143</f>
        <v>106</v>
      </c>
      <c r="S143" s="84">
        <f>'HKL263'!K15</f>
        <v>928</v>
      </c>
      <c r="T143" s="87">
        <f>'HKL263'!J15</f>
        <v>1019</v>
      </c>
      <c r="U143" s="84">
        <f>'[1]April-18'!U17</f>
        <v>1</v>
      </c>
      <c r="V143" s="84">
        <f t="shared" ref="V143:V150" si="331">(T143-S143)*U143</f>
        <v>91</v>
      </c>
      <c r="W143" s="84"/>
      <c r="X143" s="84"/>
      <c r="Y143" s="85">
        <f t="shared" ref="Y143:Y150" si="332">N143/30/I143</f>
        <v>1.4066666666666656</v>
      </c>
      <c r="Z143" s="84"/>
      <c r="AA143" s="82" t="s">
        <v>254</v>
      </c>
    </row>
    <row r="144" spans="1:28" s="40" customFormat="1" ht="39.950000000000003" hidden="1" customHeight="1" x14ac:dyDescent="0.25">
      <c r="A144" s="49">
        <v>9</v>
      </c>
      <c r="B144" s="50" t="s">
        <v>43</v>
      </c>
      <c r="C144" s="56" t="str">
        <f t="shared" si="323"/>
        <v>HDKOTE/1714</v>
      </c>
      <c r="D144" s="51" t="s">
        <v>148</v>
      </c>
      <c r="E144" s="55" t="str">
        <f t="shared" ref="E144:F144" si="333">E143</f>
        <v>HKL263</v>
      </c>
      <c r="F144" s="50">
        <f t="shared" si="333"/>
        <v>0.64</v>
      </c>
      <c r="G144" s="49" t="s">
        <v>221</v>
      </c>
      <c r="H144" s="64" t="s">
        <v>222</v>
      </c>
      <c r="I144" s="49">
        <f t="shared" ref="I144:J144" si="334">I143</f>
        <v>3</v>
      </c>
      <c r="J144" s="49" t="str">
        <f t="shared" si="334"/>
        <v>LT 3</v>
      </c>
      <c r="K144" s="84">
        <f>'HKL263'!Q16</f>
        <v>3215</v>
      </c>
      <c r="L144" s="87">
        <f>'HKL263'!P16</f>
        <v>3520</v>
      </c>
      <c r="M144" s="87">
        <f>'[1]April-18'!M18</f>
        <v>1</v>
      </c>
      <c r="N144" s="84">
        <f t="shared" si="329"/>
        <v>305</v>
      </c>
      <c r="O144" s="84">
        <f>'HKL263'!F16</f>
        <v>908</v>
      </c>
      <c r="P144" s="87">
        <f>'HKL263'!E16</f>
        <v>1109</v>
      </c>
      <c r="Q144" s="84">
        <f t="shared" si="326"/>
        <v>1</v>
      </c>
      <c r="R144" s="84">
        <f t="shared" si="330"/>
        <v>201</v>
      </c>
      <c r="S144" s="84">
        <f>'HKL263'!K16</f>
        <v>1019</v>
      </c>
      <c r="T144" s="87">
        <f>'HKL263'!J16</f>
        <v>1117</v>
      </c>
      <c r="U144" s="84">
        <f>'[1]April-18'!U18</f>
        <v>1</v>
      </c>
      <c r="V144" s="84">
        <f t="shared" si="331"/>
        <v>98</v>
      </c>
      <c r="W144" s="84"/>
      <c r="X144" s="84"/>
      <c r="Y144" s="85">
        <f t="shared" si="332"/>
        <v>3.3888888888888888</v>
      </c>
      <c r="Z144" s="84"/>
      <c r="AA144" s="82" t="s">
        <v>258</v>
      </c>
    </row>
    <row r="145" spans="1:27" s="40" customFormat="1" ht="39.950000000000003" hidden="1" customHeight="1" x14ac:dyDescent="0.25">
      <c r="A145" s="49">
        <v>10</v>
      </c>
      <c r="B145" s="50" t="s">
        <v>43</v>
      </c>
      <c r="C145" s="56" t="str">
        <f t="shared" si="323"/>
        <v>HDKOTE/1714</v>
      </c>
      <c r="D145" s="51" t="s">
        <v>148</v>
      </c>
      <c r="E145" s="55" t="str">
        <f t="shared" ref="E145:F145" si="335">E144</f>
        <v>HKL263</v>
      </c>
      <c r="F145" s="50">
        <f t="shared" si="335"/>
        <v>0.64</v>
      </c>
      <c r="G145" s="49" t="s">
        <v>221</v>
      </c>
      <c r="H145" s="64" t="s">
        <v>222</v>
      </c>
      <c r="I145" s="49">
        <f t="shared" ref="I145:J145" si="336">I144</f>
        <v>3</v>
      </c>
      <c r="J145" s="49" t="str">
        <f t="shared" si="336"/>
        <v>LT 3</v>
      </c>
      <c r="K145" s="84">
        <f>'HKL263'!Q17</f>
        <v>0</v>
      </c>
      <c r="L145" s="87">
        <f>'HKL263'!P17</f>
        <v>0</v>
      </c>
      <c r="M145" s="87">
        <f>'[1]April-18'!M19</f>
        <v>1</v>
      </c>
      <c r="N145" s="84">
        <f t="shared" si="329"/>
        <v>0</v>
      </c>
      <c r="O145" s="84">
        <f>'HKL263'!F17</f>
        <v>0</v>
      </c>
      <c r="P145" s="87">
        <f>'HKL263'!E17</f>
        <v>0</v>
      </c>
      <c r="Q145" s="84">
        <f t="shared" si="326"/>
        <v>1</v>
      </c>
      <c r="R145" s="84">
        <f t="shared" si="330"/>
        <v>0</v>
      </c>
      <c r="S145" s="84">
        <f>'HKL263'!K17</f>
        <v>0</v>
      </c>
      <c r="T145" s="87">
        <f>'HKL263'!J17</f>
        <v>0</v>
      </c>
      <c r="U145" s="84">
        <f>'[1]April-18'!U19</f>
        <v>1</v>
      </c>
      <c r="V145" s="84">
        <f t="shared" si="331"/>
        <v>0</v>
      </c>
      <c r="W145" s="84"/>
      <c r="X145" s="84"/>
      <c r="Y145" s="85">
        <f t="shared" si="332"/>
        <v>0</v>
      </c>
      <c r="Z145" s="84"/>
      <c r="AA145" s="82"/>
    </row>
    <row r="146" spans="1:27" s="40" customFormat="1" ht="39.950000000000003" hidden="1" customHeight="1" x14ac:dyDescent="0.25">
      <c r="A146" s="49">
        <v>11</v>
      </c>
      <c r="B146" s="50" t="s">
        <v>43</v>
      </c>
      <c r="C146" s="56" t="str">
        <f t="shared" si="323"/>
        <v>HDKOTE/1714</v>
      </c>
      <c r="D146" s="51" t="s">
        <v>148</v>
      </c>
      <c r="E146" s="55" t="str">
        <f t="shared" ref="E146:F146" si="337">E145</f>
        <v>HKL263</v>
      </c>
      <c r="F146" s="50">
        <f t="shared" si="337"/>
        <v>0.64</v>
      </c>
      <c r="G146" s="49" t="s">
        <v>221</v>
      </c>
      <c r="H146" s="64" t="s">
        <v>222</v>
      </c>
      <c r="I146" s="49">
        <f t="shared" ref="I146:J146" si="338">I145</f>
        <v>3</v>
      </c>
      <c r="J146" s="49" t="str">
        <f t="shared" si="338"/>
        <v>LT 3</v>
      </c>
      <c r="K146" s="84">
        <f>'HKL263'!Q18</f>
        <v>3520</v>
      </c>
      <c r="L146" s="87">
        <f>'HKL263'!P18</f>
        <v>3769.5</v>
      </c>
      <c r="M146" s="87">
        <f>'[1]April-18'!M20</f>
        <v>1</v>
      </c>
      <c r="N146" s="84">
        <f t="shared" si="329"/>
        <v>249.5</v>
      </c>
      <c r="O146" s="84">
        <f>'HKL263'!F18</f>
        <v>1109</v>
      </c>
      <c r="P146" s="87">
        <f>'HKL263'!E18</f>
        <v>1303.3</v>
      </c>
      <c r="Q146" s="84">
        <f t="shared" si="326"/>
        <v>1</v>
      </c>
      <c r="R146" s="84">
        <f t="shared" si="330"/>
        <v>194.29999999999995</v>
      </c>
      <c r="S146" s="84">
        <f>'HKL263'!K18</f>
        <v>1117</v>
      </c>
      <c r="T146" s="87">
        <f>'HKL263'!J18</f>
        <v>1324.7</v>
      </c>
      <c r="U146" s="84">
        <f>'[1]April-18'!U20</f>
        <v>1</v>
      </c>
      <c r="V146" s="84">
        <f t="shared" si="331"/>
        <v>207.70000000000005</v>
      </c>
      <c r="W146" s="84"/>
      <c r="X146" s="84"/>
      <c r="Y146" s="85">
        <f t="shared" si="332"/>
        <v>2.7722222222222221</v>
      </c>
      <c r="Z146" s="84"/>
      <c r="AA146" s="82" t="s">
        <v>259</v>
      </c>
    </row>
    <row r="147" spans="1:27" s="40" customFormat="1" ht="39.950000000000003" hidden="1" customHeight="1" x14ac:dyDescent="0.25">
      <c r="A147" s="49">
        <v>12</v>
      </c>
      <c r="B147" s="50" t="s">
        <v>43</v>
      </c>
      <c r="C147" s="56" t="str">
        <f t="shared" si="323"/>
        <v>HDKOTE/1714</v>
      </c>
      <c r="D147" s="51" t="s">
        <v>148</v>
      </c>
      <c r="E147" s="55" t="str">
        <f t="shared" ref="E147:F147" si="339">E146</f>
        <v>HKL263</v>
      </c>
      <c r="F147" s="50">
        <f t="shared" si="339"/>
        <v>0.64</v>
      </c>
      <c r="G147" s="49" t="s">
        <v>221</v>
      </c>
      <c r="H147" s="64" t="s">
        <v>222</v>
      </c>
      <c r="I147" s="49">
        <f t="shared" ref="I147:J147" si="340">I146</f>
        <v>3</v>
      </c>
      <c r="J147" s="49" t="str">
        <f t="shared" si="340"/>
        <v>LT 3</v>
      </c>
      <c r="K147" s="84">
        <f>'HKL263'!Q19</f>
        <v>3769.5</v>
      </c>
      <c r="L147" s="87">
        <f>'HKL263'!P19</f>
        <v>4044.1</v>
      </c>
      <c r="M147" s="87">
        <f>'[1]April-18'!M21</f>
        <v>1</v>
      </c>
      <c r="N147" s="84">
        <f t="shared" si="329"/>
        <v>274.59999999999991</v>
      </c>
      <c r="O147" s="84">
        <f>'HKL263'!F19</f>
        <v>1303.3</v>
      </c>
      <c r="P147" s="87">
        <f>'HKL263'!E19</f>
        <v>1404.3</v>
      </c>
      <c r="Q147" s="84">
        <f t="shared" si="326"/>
        <v>1</v>
      </c>
      <c r="R147" s="84">
        <f t="shared" si="330"/>
        <v>101</v>
      </c>
      <c r="S147" s="84">
        <f>'HKL263'!K19</f>
        <v>1324.7</v>
      </c>
      <c r="T147" s="87">
        <f>'HKL263'!J19</f>
        <v>1461.2</v>
      </c>
      <c r="U147" s="84">
        <f>'[1]April-18'!U21</f>
        <v>1</v>
      </c>
      <c r="V147" s="84">
        <f t="shared" si="331"/>
        <v>136.5</v>
      </c>
      <c r="W147" s="84"/>
      <c r="X147" s="84"/>
      <c r="Y147" s="85">
        <f t="shared" si="332"/>
        <v>3.0511111111111102</v>
      </c>
      <c r="Z147" s="84"/>
      <c r="AA147" s="82" t="s">
        <v>263</v>
      </c>
    </row>
    <row r="148" spans="1:27" s="40" customFormat="1" ht="39.950000000000003" hidden="1" customHeight="1" x14ac:dyDescent="0.25">
      <c r="A148" s="49">
        <v>13</v>
      </c>
      <c r="B148" s="50" t="s">
        <v>43</v>
      </c>
      <c r="C148" s="56" t="str">
        <f t="shared" si="323"/>
        <v>HDKOTE/1714</v>
      </c>
      <c r="D148" s="51" t="s">
        <v>148</v>
      </c>
      <c r="E148" s="55" t="str">
        <f t="shared" ref="E148:F148" si="341">E147</f>
        <v>HKL263</v>
      </c>
      <c r="F148" s="50">
        <f t="shared" si="341"/>
        <v>0.64</v>
      </c>
      <c r="G148" s="49" t="s">
        <v>221</v>
      </c>
      <c r="H148" s="64" t="s">
        <v>222</v>
      </c>
      <c r="I148" s="49">
        <f t="shared" ref="I148:J148" si="342">I147</f>
        <v>3</v>
      </c>
      <c r="J148" s="49" t="str">
        <f t="shared" si="342"/>
        <v>LT 3</v>
      </c>
      <c r="K148" s="84">
        <f>'HKL263'!Q20</f>
        <v>4044.1</v>
      </c>
      <c r="L148" s="87">
        <f>'HKL263'!P20</f>
        <v>4244.6000000000004</v>
      </c>
      <c r="M148" s="87">
        <f>'[1]April-18'!M22</f>
        <v>1</v>
      </c>
      <c r="N148" s="84">
        <f t="shared" si="329"/>
        <v>200.50000000000045</v>
      </c>
      <c r="O148" s="84">
        <f>'HKL263'!F20</f>
        <v>1404.3</v>
      </c>
      <c r="P148" s="87">
        <f>'HKL263'!E20</f>
        <v>1562.7</v>
      </c>
      <c r="Q148" s="84">
        <f t="shared" si="326"/>
        <v>1</v>
      </c>
      <c r="R148" s="84">
        <f t="shared" si="330"/>
        <v>158.40000000000009</v>
      </c>
      <c r="S148" s="84">
        <f>'HKL263'!K20</f>
        <v>1461.2</v>
      </c>
      <c r="T148" s="87">
        <f>'HKL263'!J20</f>
        <v>1581.8</v>
      </c>
      <c r="U148" s="84">
        <f>'[1]April-18'!U22</f>
        <v>1</v>
      </c>
      <c r="V148" s="84">
        <f t="shared" si="331"/>
        <v>120.59999999999991</v>
      </c>
      <c r="W148" s="84"/>
      <c r="X148" s="84"/>
      <c r="Y148" s="85">
        <f t="shared" si="332"/>
        <v>2.2277777777777827</v>
      </c>
      <c r="Z148" s="84"/>
      <c r="AA148" s="82" t="s">
        <v>265</v>
      </c>
    </row>
    <row r="149" spans="1:27" s="40" customFormat="1" ht="39.950000000000003" hidden="1" customHeight="1" x14ac:dyDescent="0.25">
      <c r="A149" s="49">
        <v>14</v>
      </c>
      <c r="B149" s="50" t="s">
        <v>43</v>
      </c>
      <c r="C149" s="56" t="str">
        <f t="shared" si="323"/>
        <v>HDKOTE/1714</v>
      </c>
      <c r="D149" s="51" t="s">
        <v>148</v>
      </c>
      <c r="E149" s="55" t="str">
        <f t="shared" ref="E149:F149" si="343">E148</f>
        <v>HKL263</v>
      </c>
      <c r="F149" s="50">
        <f t="shared" si="343"/>
        <v>0.64</v>
      </c>
      <c r="G149" s="49" t="s">
        <v>221</v>
      </c>
      <c r="H149" s="64" t="s">
        <v>222</v>
      </c>
      <c r="I149" s="49">
        <f t="shared" ref="I149:J149" si="344">I148</f>
        <v>3</v>
      </c>
      <c r="J149" s="49" t="str">
        <f t="shared" si="344"/>
        <v>LT 3</v>
      </c>
      <c r="K149" s="84">
        <f>'HKL263'!Q21</f>
        <v>4244.6000000000004</v>
      </c>
      <c r="L149" s="87">
        <f>'HKL263'!P21</f>
        <v>4478.8999999999996</v>
      </c>
      <c r="M149" s="87">
        <f>'[1]April-18'!M23</f>
        <v>1</v>
      </c>
      <c r="N149" s="84">
        <f t="shared" si="329"/>
        <v>234.29999999999927</v>
      </c>
      <c r="O149" s="84">
        <f>'HKL263'!F21</f>
        <v>1562.7</v>
      </c>
      <c r="P149" s="87">
        <f>'HKL263'!E21</f>
        <v>1631.3</v>
      </c>
      <c r="Q149" s="84">
        <f t="shared" si="326"/>
        <v>1</v>
      </c>
      <c r="R149" s="84">
        <f t="shared" si="330"/>
        <v>68.599999999999909</v>
      </c>
      <c r="S149" s="84">
        <f>'HKL263'!K21</f>
        <v>1581.8</v>
      </c>
      <c r="T149" s="87">
        <f>'HKL263'!J21</f>
        <v>1716.8</v>
      </c>
      <c r="U149" s="84">
        <f>'[1]April-18'!U23</f>
        <v>1</v>
      </c>
      <c r="V149" s="84">
        <f t="shared" si="331"/>
        <v>135</v>
      </c>
      <c r="W149" s="84"/>
      <c r="X149" s="84"/>
      <c r="Y149" s="85">
        <f t="shared" si="332"/>
        <v>2.6033333333333251</v>
      </c>
      <c r="Z149" s="84"/>
      <c r="AA149" s="82"/>
    </row>
    <row r="150" spans="1:27" s="40" customFormat="1" ht="39.950000000000003" hidden="1" customHeight="1" x14ac:dyDescent="0.25">
      <c r="A150" s="49">
        <v>15</v>
      </c>
      <c r="B150" s="50" t="s">
        <v>43</v>
      </c>
      <c r="C150" s="56" t="str">
        <f t="shared" si="323"/>
        <v>HDKOTE/1714</v>
      </c>
      <c r="D150" s="51" t="s">
        <v>148</v>
      </c>
      <c r="E150" s="55" t="str">
        <f t="shared" ref="E150:F150" si="345">E149</f>
        <v>HKL263</v>
      </c>
      <c r="F150" s="50">
        <f t="shared" si="345"/>
        <v>0.64</v>
      </c>
      <c r="G150" s="49" t="s">
        <v>221</v>
      </c>
      <c r="H150" s="64" t="s">
        <v>222</v>
      </c>
      <c r="I150" s="49">
        <f t="shared" ref="I150:J150" si="346">I149</f>
        <v>3</v>
      </c>
      <c r="J150" s="49" t="str">
        <f t="shared" si="346"/>
        <v>LT 3</v>
      </c>
      <c r="K150" s="84">
        <f>'HKL263'!Q71</f>
        <v>0</v>
      </c>
      <c r="L150" s="87">
        <f>'HKL263'!P71</f>
        <v>0</v>
      </c>
      <c r="M150" s="87">
        <f>'[1]April-18'!M24</f>
        <v>1</v>
      </c>
      <c r="N150" s="84">
        <f t="shared" si="329"/>
        <v>0</v>
      </c>
      <c r="O150" s="84">
        <f>'HKL263'!F71</f>
        <v>0</v>
      </c>
      <c r="P150" s="87">
        <f>'HKL263'!E71</f>
        <v>0</v>
      </c>
      <c r="Q150" s="84">
        <f t="shared" si="326"/>
        <v>1</v>
      </c>
      <c r="R150" s="84">
        <f t="shared" si="330"/>
        <v>0</v>
      </c>
      <c r="S150" s="84">
        <f>'HKL263'!K71</f>
        <v>0</v>
      </c>
      <c r="T150" s="87">
        <f>'HKL263'!J71</f>
        <v>0</v>
      </c>
      <c r="U150" s="84">
        <f>'[1]April-18'!U24</f>
        <v>1</v>
      </c>
      <c r="V150" s="84">
        <f t="shared" si="331"/>
        <v>0</v>
      </c>
      <c r="W150" s="84"/>
      <c r="X150" s="84"/>
      <c r="Y150" s="85">
        <f t="shared" si="332"/>
        <v>0</v>
      </c>
      <c r="Z150" s="84"/>
      <c r="AA150" s="82"/>
    </row>
    <row r="151" spans="1:27" s="40" customFormat="1" ht="39.950000000000003" hidden="1" customHeight="1" x14ac:dyDescent="0.25">
      <c r="A151" s="49">
        <v>16</v>
      </c>
      <c r="B151" s="50" t="s">
        <v>43</v>
      </c>
      <c r="C151" s="56" t="str">
        <f t="shared" si="323"/>
        <v>HDKOTE/1714</v>
      </c>
      <c r="D151" s="51" t="s">
        <v>148</v>
      </c>
      <c r="E151" s="55" t="str">
        <f t="shared" ref="E151:F151" si="347">E150</f>
        <v>HKL263</v>
      </c>
      <c r="F151" s="50">
        <f t="shared" si="347"/>
        <v>0.64</v>
      </c>
      <c r="G151" s="49" t="s">
        <v>221</v>
      </c>
      <c r="H151" s="64" t="s">
        <v>222</v>
      </c>
      <c r="I151" s="49">
        <f t="shared" ref="I151:J151" si="348">I150</f>
        <v>3</v>
      </c>
      <c r="J151" s="49" t="str">
        <f t="shared" si="348"/>
        <v>LT 3</v>
      </c>
      <c r="K151" s="84">
        <f>'HKL263'!Q23</f>
        <v>4694.8</v>
      </c>
      <c r="L151" s="87">
        <f>'HKL263'!P23</f>
        <v>4943.6000000000004</v>
      </c>
      <c r="M151" s="87">
        <f>'[1]April-18'!M25</f>
        <v>1</v>
      </c>
      <c r="N151" s="84">
        <f t="shared" ref="N151:N152" si="349">(L151-K151)*M151</f>
        <v>248.80000000000018</v>
      </c>
      <c r="O151" s="84">
        <f>'HKL263'!F23</f>
        <v>1841.9</v>
      </c>
      <c r="P151" s="87">
        <f>'HKL263'!E23</f>
        <v>1963.6</v>
      </c>
      <c r="Q151" s="84">
        <f t="shared" si="326"/>
        <v>1</v>
      </c>
      <c r="R151" s="84">
        <f t="shared" ref="R151:R152" si="350">(P151-O151)*Q151</f>
        <v>121.69999999999982</v>
      </c>
      <c r="S151" s="84">
        <f>'HKL263'!K23</f>
        <v>1810.3</v>
      </c>
      <c r="T151" s="87">
        <f>'HKL263'!J23</f>
        <v>1918.3</v>
      </c>
      <c r="U151" s="84">
        <f>'[1]April-18'!U25</f>
        <v>1</v>
      </c>
      <c r="V151" s="84">
        <f t="shared" ref="V151:V152" si="351">(T151-S151)*U151</f>
        <v>108</v>
      </c>
      <c r="W151" s="84"/>
      <c r="X151" s="84"/>
      <c r="Y151" s="85">
        <f t="shared" ref="Y151:Y157" si="352">N151/30/I151</f>
        <v>2.7644444444444467</v>
      </c>
      <c r="Z151" s="84"/>
      <c r="AA151" s="82"/>
    </row>
    <row r="152" spans="1:27" s="40" customFormat="1" ht="39.950000000000003" hidden="1" customHeight="1" x14ac:dyDescent="0.25">
      <c r="A152" s="93">
        <v>17</v>
      </c>
      <c r="B152" s="50" t="s">
        <v>43</v>
      </c>
      <c r="C152" s="56" t="str">
        <f t="shared" si="323"/>
        <v>HDKOTE/1714</v>
      </c>
      <c r="D152" s="51" t="s">
        <v>148</v>
      </c>
      <c r="E152" s="55" t="str">
        <f t="shared" ref="E152:F152" si="353">E151</f>
        <v>HKL263</v>
      </c>
      <c r="F152" s="50">
        <f t="shared" si="353"/>
        <v>0.64</v>
      </c>
      <c r="G152" s="49" t="s">
        <v>221</v>
      </c>
      <c r="H152" s="64" t="s">
        <v>222</v>
      </c>
      <c r="I152" s="49">
        <f t="shared" ref="I152:J152" si="354">I151</f>
        <v>3</v>
      </c>
      <c r="J152" s="49" t="str">
        <f t="shared" si="354"/>
        <v>LT 3</v>
      </c>
      <c r="K152" s="84">
        <f>'HKL263'!Q24</f>
        <v>4943.6000000000004</v>
      </c>
      <c r="L152" s="87">
        <f>'HKL263'!P24</f>
        <v>5127.5</v>
      </c>
      <c r="M152" s="87">
        <f>M151</f>
        <v>1</v>
      </c>
      <c r="N152" s="84">
        <f t="shared" si="349"/>
        <v>183.89999999999964</v>
      </c>
      <c r="O152" s="84">
        <f>'HKL263'!F24</f>
        <v>1963.6</v>
      </c>
      <c r="P152" s="87">
        <f>'HKL263'!E24</f>
        <v>2034.6</v>
      </c>
      <c r="Q152" s="84">
        <f t="shared" si="326"/>
        <v>1</v>
      </c>
      <c r="R152" s="84">
        <f t="shared" si="350"/>
        <v>71</v>
      </c>
      <c r="S152" s="84">
        <f>'HKL263'!K24</f>
        <v>1918.3</v>
      </c>
      <c r="T152" s="87">
        <f>'HKL263'!J24</f>
        <v>2016.6</v>
      </c>
      <c r="U152" s="84">
        <f>U151</f>
        <v>1</v>
      </c>
      <c r="V152" s="84">
        <f t="shared" si="351"/>
        <v>98.299999999999955</v>
      </c>
      <c r="W152" s="84"/>
      <c r="X152" s="84"/>
      <c r="Y152" s="85">
        <f t="shared" si="352"/>
        <v>2.043333333333329</v>
      </c>
      <c r="Z152" s="84"/>
      <c r="AA152" s="82"/>
    </row>
    <row r="153" spans="1:27" s="40" customFormat="1" ht="39.950000000000003" hidden="1" customHeight="1" x14ac:dyDescent="0.25">
      <c r="A153" s="94">
        <v>18</v>
      </c>
      <c r="B153" s="50" t="s">
        <v>43</v>
      </c>
      <c r="C153" s="56" t="str">
        <f t="shared" si="323"/>
        <v>HDKOTE/1714</v>
      </c>
      <c r="D153" s="51" t="s">
        <v>148</v>
      </c>
      <c r="E153" s="55" t="str">
        <f t="shared" ref="E153:F153" si="355">E152</f>
        <v>HKL263</v>
      </c>
      <c r="F153" s="50">
        <f t="shared" si="355"/>
        <v>0.64</v>
      </c>
      <c r="G153" s="49" t="s">
        <v>221</v>
      </c>
      <c r="H153" s="64" t="s">
        <v>222</v>
      </c>
      <c r="I153" s="49">
        <f t="shared" ref="I153:J153" si="356">I152</f>
        <v>3</v>
      </c>
      <c r="J153" s="49" t="str">
        <f t="shared" si="356"/>
        <v>LT 3</v>
      </c>
      <c r="K153" s="84">
        <f>'HKL263'!Q25</f>
        <v>5127.5</v>
      </c>
      <c r="L153" s="87">
        <f>'HKL263'!P25</f>
        <v>5308.3</v>
      </c>
      <c r="M153" s="87">
        <f t="shared" ref="M153:M167" si="357">M152</f>
        <v>1</v>
      </c>
      <c r="N153" s="84">
        <f t="shared" ref="N153:N157" si="358">(L153-K153)*M153</f>
        <v>180.80000000000018</v>
      </c>
      <c r="O153" s="84">
        <f>'HKL263'!F25</f>
        <v>2034.6</v>
      </c>
      <c r="P153" s="87">
        <f>'HKL263'!E25</f>
        <v>2123.8000000000002</v>
      </c>
      <c r="Q153" s="84">
        <f t="shared" si="326"/>
        <v>1</v>
      </c>
      <c r="R153" s="84">
        <f t="shared" ref="R153:R157" si="359">(P153-O153)*Q153</f>
        <v>89.200000000000273</v>
      </c>
      <c r="S153" s="84">
        <f>'HKL263'!K25</f>
        <v>2016.6</v>
      </c>
      <c r="T153" s="87">
        <f>'HKL263'!J25</f>
        <v>2102.6999999999998</v>
      </c>
      <c r="U153" s="84">
        <f t="shared" ref="U153:U167" si="360">U152</f>
        <v>1</v>
      </c>
      <c r="V153" s="84">
        <f t="shared" ref="V153:V157" si="361">(T153-S153)*U153</f>
        <v>86.099999999999909</v>
      </c>
      <c r="W153" s="84"/>
      <c r="X153" s="84"/>
      <c r="Y153" s="85">
        <f t="shared" si="352"/>
        <v>2.0088888888888907</v>
      </c>
      <c r="Z153" s="84"/>
      <c r="AA153" s="82"/>
    </row>
    <row r="154" spans="1:27" s="40" customFormat="1" ht="39.950000000000003" hidden="1" customHeight="1" x14ac:dyDescent="0.25">
      <c r="A154" s="95">
        <v>19</v>
      </c>
      <c r="B154" s="50" t="s">
        <v>43</v>
      </c>
      <c r="C154" s="56" t="str">
        <f t="shared" si="323"/>
        <v>HDKOTE/1714</v>
      </c>
      <c r="D154" s="51" t="s">
        <v>148</v>
      </c>
      <c r="E154" s="55" t="str">
        <f t="shared" ref="E154:F154" si="362">E153</f>
        <v>HKL263</v>
      </c>
      <c r="F154" s="50">
        <f t="shared" si="362"/>
        <v>0.64</v>
      </c>
      <c r="G154" s="49" t="s">
        <v>221</v>
      </c>
      <c r="H154" s="64" t="s">
        <v>222</v>
      </c>
      <c r="I154" s="49">
        <f t="shared" ref="I154:J154" si="363">I153</f>
        <v>3</v>
      </c>
      <c r="J154" s="49" t="str">
        <f t="shared" si="363"/>
        <v>LT 3</v>
      </c>
      <c r="K154" s="84">
        <f>'HKL263'!Q26</f>
        <v>5308.3</v>
      </c>
      <c r="L154" s="87">
        <f>'HKL263'!P26</f>
        <v>5482.3</v>
      </c>
      <c r="M154" s="87">
        <f t="shared" si="357"/>
        <v>1</v>
      </c>
      <c r="N154" s="84">
        <f t="shared" si="358"/>
        <v>174</v>
      </c>
      <c r="O154" s="84">
        <f>'HKL263'!F26</f>
        <v>2123.8000000000002</v>
      </c>
      <c r="P154" s="87">
        <f>'HKL263'!E26</f>
        <v>2214.3000000000002</v>
      </c>
      <c r="Q154" s="84">
        <f t="shared" si="326"/>
        <v>1</v>
      </c>
      <c r="R154" s="84">
        <f t="shared" si="359"/>
        <v>90.5</v>
      </c>
      <c r="S154" s="84">
        <f>'HKL263'!K26</f>
        <v>2102.6999999999998</v>
      </c>
      <c r="T154" s="87">
        <f>'HKL263'!J26</f>
        <v>2189.1</v>
      </c>
      <c r="U154" s="84">
        <f t="shared" si="360"/>
        <v>1</v>
      </c>
      <c r="V154" s="84">
        <f t="shared" si="361"/>
        <v>86.400000000000091</v>
      </c>
      <c r="W154" s="84"/>
      <c r="X154" s="84"/>
      <c r="Y154" s="85">
        <f t="shared" si="352"/>
        <v>1.9333333333333333</v>
      </c>
      <c r="Z154" s="84"/>
      <c r="AA154" s="82"/>
    </row>
    <row r="155" spans="1:27" s="40" customFormat="1" ht="39.950000000000003" hidden="1" customHeight="1" x14ac:dyDescent="0.25">
      <c r="A155" s="49">
        <v>20</v>
      </c>
      <c r="B155" s="50" t="s">
        <v>43</v>
      </c>
      <c r="C155" s="56" t="str">
        <f t="shared" si="323"/>
        <v>HDKOTE/1714</v>
      </c>
      <c r="D155" s="51" t="s">
        <v>148</v>
      </c>
      <c r="E155" s="55" t="str">
        <f t="shared" ref="E155:F155" si="364">E154</f>
        <v>HKL263</v>
      </c>
      <c r="F155" s="50">
        <f t="shared" si="364"/>
        <v>0.64</v>
      </c>
      <c r="G155" s="49" t="s">
        <v>221</v>
      </c>
      <c r="H155" s="64" t="s">
        <v>222</v>
      </c>
      <c r="I155" s="49">
        <f t="shared" ref="I155:J155" si="365">I154</f>
        <v>3</v>
      </c>
      <c r="J155" s="49" t="str">
        <f t="shared" si="365"/>
        <v>LT 3</v>
      </c>
      <c r="K155" s="84">
        <f>'HKL263'!Q27</f>
        <v>5482.3</v>
      </c>
      <c r="L155" s="87">
        <f>'HKL263'!P27</f>
        <v>5655.3</v>
      </c>
      <c r="M155" s="87">
        <f t="shared" si="357"/>
        <v>1</v>
      </c>
      <c r="N155" s="84">
        <f t="shared" si="358"/>
        <v>173</v>
      </c>
      <c r="O155" s="84">
        <f>'HKL263'!F27</f>
        <v>2214.3000000000002</v>
      </c>
      <c r="P155" s="87">
        <f>'HKL263'!E27</f>
        <v>2305.3000000000002</v>
      </c>
      <c r="Q155" s="84">
        <f t="shared" si="326"/>
        <v>1</v>
      </c>
      <c r="R155" s="84">
        <f t="shared" si="359"/>
        <v>91</v>
      </c>
      <c r="S155" s="84">
        <f>'HKL263'!K27</f>
        <v>2189.1</v>
      </c>
      <c r="T155" s="87">
        <f>'HKL263'!J27</f>
        <v>2273.1999999999998</v>
      </c>
      <c r="U155" s="84">
        <f t="shared" si="360"/>
        <v>1</v>
      </c>
      <c r="V155" s="84">
        <f t="shared" si="361"/>
        <v>84.099999999999909</v>
      </c>
      <c r="W155" s="84"/>
      <c r="X155" s="84"/>
      <c r="Y155" s="85">
        <f t="shared" si="352"/>
        <v>1.9222222222222223</v>
      </c>
      <c r="Z155" s="84"/>
      <c r="AA155" s="82"/>
    </row>
    <row r="156" spans="1:27" s="40" customFormat="1" ht="39.950000000000003" hidden="1" customHeight="1" x14ac:dyDescent="0.25">
      <c r="A156" s="49">
        <v>21</v>
      </c>
      <c r="B156" s="50" t="s">
        <v>43</v>
      </c>
      <c r="C156" s="56" t="str">
        <f t="shared" si="323"/>
        <v>HDKOTE/1714</v>
      </c>
      <c r="D156" s="51" t="s">
        <v>148</v>
      </c>
      <c r="E156" s="55" t="str">
        <f t="shared" ref="E156:F156" si="366">E155</f>
        <v>HKL263</v>
      </c>
      <c r="F156" s="50">
        <f t="shared" si="366"/>
        <v>0.64</v>
      </c>
      <c r="G156" s="49" t="s">
        <v>221</v>
      </c>
      <c r="H156" s="64" t="s">
        <v>222</v>
      </c>
      <c r="I156" s="49">
        <f t="shared" ref="I156:J156" si="367">I155</f>
        <v>3</v>
      </c>
      <c r="J156" s="49" t="str">
        <f t="shared" si="367"/>
        <v>LT 3</v>
      </c>
      <c r="K156" s="84">
        <f>'HKL263'!Q28</f>
        <v>5655.3</v>
      </c>
      <c r="L156" s="87">
        <f>'HKL263'!P28</f>
        <v>5854.3</v>
      </c>
      <c r="M156" s="87">
        <f t="shared" si="357"/>
        <v>1</v>
      </c>
      <c r="N156" s="84">
        <f t="shared" si="358"/>
        <v>199</v>
      </c>
      <c r="O156" s="84">
        <f>'HKL263'!F28</f>
        <v>2305.3000000000002</v>
      </c>
      <c r="P156" s="87">
        <f>'HKL263'!E28</f>
        <v>2411.1</v>
      </c>
      <c r="Q156" s="84">
        <f t="shared" si="326"/>
        <v>1</v>
      </c>
      <c r="R156" s="84">
        <f t="shared" si="359"/>
        <v>105.79999999999973</v>
      </c>
      <c r="S156" s="84">
        <f>'HKL263'!K28</f>
        <v>2273.1999999999998</v>
      </c>
      <c r="T156" s="87">
        <f>'HKL263'!J28</f>
        <v>2366.1999999999998</v>
      </c>
      <c r="U156" s="84">
        <f t="shared" si="360"/>
        <v>1</v>
      </c>
      <c r="V156" s="84">
        <f t="shared" si="361"/>
        <v>93</v>
      </c>
      <c r="W156" s="84"/>
      <c r="X156" s="84"/>
      <c r="Y156" s="85">
        <f t="shared" si="352"/>
        <v>2.2111111111111112</v>
      </c>
      <c r="Z156" s="84"/>
      <c r="AA156" s="82"/>
    </row>
    <row r="157" spans="1:27" s="40" customFormat="1" ht="39.950000000000003" hidden="1" customHeight="1" x14ac:dyDescent="0.25">
      <c r="A157" s="49">
        <v>22</v>
      </c>
      <c r="B157" s="50" t="s">
        <v>43</v>
      </c>
      <c r="C157" s="56" t="str">
        <f t="shared" si="323"/>
        <v>HDKOTE/1714</v>
      </c>
      <c r="D157" s="51" t="s">
        <v>148</v>
      </c>
      <c r="E157" s="55" t="str">
        <f t="shared" ref="E157:F160" si="368">E156</f>
        <v>HKL263</v>
      </c>
      <c r="F157" s="50">
        <f t="shared" si="368"/>
        <v>0.64</v>
      </c>
      <c r="G157" s="49" t="s">
        <v>221</v>
      </c>
      <c r="H157" s="64" t="s">
        <v>222</v>
      </c>
      <c r="I157" s="49">
        <f t="shared" ref="I157:J160" si="369">I156</f>
        <v>3</v>
      </c>
      <c r="J157" s="49" t="str">
        <f t="shared" si="369"/>
        <v>LT 3</v>
      </c>
      <c r="K157" s="84">
        <f>'HKL263'!Q29</f>
        <v>5854.3</v>
      </c>
      <c r="L157" s="87">
        <f>'HKL263'!P29</f>
        <v>6058.3</v>
      </c>
      <c r="M157" s="87">
        <f t="shared" si="357"/>
        <v>1</v>
      </c>
      <c r="N157" s="84">
        <f t="shared" si="358"/>
        <v>204</v>
      </c>
      <c r="O157" s="84">
        <f>'HKL263'!F29</f>
        <v>2411.1</v>
      </c>
      <c r="P157" s="87">
        <f>'HKL263'!E29</f>
        <v>2575.3000000000002</v>
      </c>
      <c r="Q157" s="84">
        <f t="shared" si="326"/>
        <v>1</v>
      </c>
      <c r="R157" s="84">
        <f t="shared" si="359"/>
        <v>164.20000000000027</v>
      </c>
      <c r="S157" s="84">
        <f>'HKL263'!K29</f>
        <v>2366.1999999999998</v>
      </c>
      <c r="T157" s="87">
        <f>'HKL263'!J29</f>
        <v>2482.5</v>
      </c>
      <c r="U157" s="84">
        <f t="shared" si="360"/>
        <v>1</v>
      </c>
      <c r="V157" s="84">
        <f t="shared" si="361"/>
        <v>116.30000000000018</v>
      </c>
      <c r="W157" s="84"/>
      <c r="X157" s="84"/>
      <c r="Y157" s="85">
        <f t="shared" si="352"/>
        <v>2.2666666666666666</v>
      </c>
      <c r="Z157" s="84"/>
      <c r="AA157" s="82"/>
    </row>
    <row r="158" spans="1:27" s="40" customFormat="1" ht="39.950000000000003" hidden="1" customHeight="1" x14ac:dyDescent="0.25">
      <c r="A158" s="49">
        <v>23</v>
      </c>
      <c r="B158" s="50" t="s">
        <v>43</v>
      </c>
      <c r="C158" s="56" t="str">
        <f t="shared" si="323"/>
        <v>HDKOTE/1714</v>
      </c>
      <c r="D158" s="51" t="s">
        <v>148</v>
      </c>
      <c r="E158" s="55" t="str">
        <f t="shared" si="368"/>
        <v>HKL263</v>
      </c>
      <c r="F158" s="50">
        <f t="shared" si="368"/>
        <v>0.64</v>
      </c>
      <c r="G158" s="49" t="s">
        <v>221</v>
      </c>
      <c r="H158" s="64" t="s">
        <v>222</v>
      </c>
      <c r="I158" s="49">
        <f t="shared" si="369"/>
        <v>3</v>
      </c>
      <c r="J158" s="49" t="str">
        <f t="shared" si="369"/>
        <v>LT 3</v>
      </c>
      <c r="K158" s="84">
        <f>'HKL263'!Q31</f>
        <v>6058.3</v>
      </c>
      <c r="L158" s="87">
        <f>'HKL263'!P31</f>
        <v>6268.3</v>
      </c>
      <c r="M158" s="87">
        <f t="shared" si="357"/>
        <v>1</v>
      </c>
      <c r="N158" s="84">
        <f t="shared" ref="N158:N162" si="370">(L158-K158)*M158</f>
        <v>210</v>
      </c>
      <c r="O158" s="84">
        <f>'HKL263'!F31</f>
        <v>2575.3000000000002</v>
      </c>
      <c r="P158" s="87">
        <f>'HKL263'!E31</f>
        <v>2620</v>
      </c>
      <c r="Q158" s="84">
        <f t="shared" si="326"/>
        <v>1</v>
      </c>
      <c r="R158" s="84">
        <f t="shared" ref="R158:R162" si="371">(P158-O158)*Q158</f>
        <v>44.699999999999818</v>
      </c>
      <c r="S158" s="84">
        <f>'HKL263'!K31</f>
        <v>2482.5</v>
      </c>
      <c r="T158" s="87">
        <f>'HKL263'!J31</f>
        <v>2596.5</v>
      </c>
      <c r="U158" s="84">
        <f t="shared" si="360"/>
        <v>1</v>
      </c>
      <c r="V158" s="84">
        <f t="shared" ref="V158:V162" si="372">(T158-S158)*U158</f>
        <v>114</v>
      </c>
      <c r="W158" s="84"/>
      <c r="X158" s="84"/>
      <c r="Y158" s="85">
        <f t="shared" ref="Y158:Y162" si="373">N158/30/I158</f>
        <v>2.3333333333333335</v>
      </c>
      <c r="Z158" s="84"/>
      <c r="AA158" s="82"/>
    </row>
    <row r="159" spans="1:27" s="40" customFormat="1" ht="39.950000000000003" hidden="1" customHeight="1" x14ac:dyDescent="0.25">
      <c r="A159" s="49">
        <v>24</v>
      </c>
      <c r="B159" s="50" t="s">
        <v>43</v>
      </c>
      <c r="C159" s="56" t="str">
        <f t="shared" si="323"/>
        <v>HDKOTE/1714</v>
      </c>
      <c r="D159" s="51" t="s">
        <v>148</v>
      </c>
      <c r="E159" s="55" t="str">
        <f t="shared" si="368"/>
        <v>HKL263</v>
      </c>
      <c r="F159" s="50">
        <f t="shared" si="368"/>
        <v>0.64</v>
      </c>
      <c r="G159" s="49" t="s">
        <v>221</v>
      </c>
      <c r="H159" s="64" t="s">
        <v>222</v>
      </c>
      <c r="I159" s="49">
        <f t="shared" si="369"/>
        <v>3</v>
      </c>
      <c r="J159" s="49" t="str">
        <f t="shared" si="369"/>
        <v>LT 3</v>
      </c>
      <c r="K159" s="84">
        <f>'HKL263'!Q32</f>
        <v>6268.3</v>
      </c>
      <c r="L159" s="87">
        <f>'HKL263'!P32</f>
        <v>6536.1</v>
      </c>
      <c r="M159" s="87">
        <f t="shared" si="357"/>
        <v>1</v>
      </c>
      <c r="N159" s="84">
        <f t="shared" si="370"/>
        <v>267.80000000000018</v>
      </c>
      <c r="O159" s="84">
        <f>'HKL263'!F32</f>
        <v>2620</v>
      </c>
      <c r="P159" s="87">
        <f>'HKL263'!E32</f>
        <v>2667.8</v>
      </c>
      <c r="Q159" s="84">
        <f t="shared" si="326"/>
        <v>1</v>
      </c>
      <c r="R159" s="84">
        <f t="shared" si="371"/>
        <v>47.800000000000182</v>
      </c>
      <c r="S159" s="84">
        <f>'HKL263'!K32</f>
        <v>2596.5</v>
      </c>
      <c r="T159" s="87">
        <f>'HKL263'!J32</f>
        <v>2779.7</v>
      </c>
      <c r="U159" s="84">
        <f t="shared" si="360"/>
        <v>1</v>
      </c>
      <c r="V159" s="84">
        <f t="shared" si="372"/>
        <v>183.19999999999982</v>
      </c>
      <c r="W159" s="84"/>
      <c r="X159" s="84"/>
      <c r="Y159" s="85">
        <f t="shared" si="373"/>
        <v>2.9755555555555575</v>
      </c>
      <c r="Z159" s="84"/>
      <c r="AA159" s="82"/>
    </row>
    <row r="160" spans="1:27" s="40" customFormat="1" ht="39.950000000000003" hidden="1" customHeight="1" x14ac:dyDescent="0.25">
      <c r="A160" s="49">
        <v>25</v>
      </c>
      <c r="B160" s="50" t="s">
        <v>43</v>
      </c>
      <c r="C160" s="56" t="str">
        <f t="shared" si="323"/>
        <v>HDKOTE/1714</v>
      </c>
      <c r="D160" s="51" t="s">
        <v>148</v>
      </c>
      <c r="E160" s="55" t="str">
        <f t="shared" si="368"/>
        <v>HKL263</v>
      </c>
      <c r="F160" s="50">
        <f t="shared" si="368"/>
        <v>0.64</v>
      </c>
      <c r="G160" s="49" t="s">
        <v>221</v>
      </c>
      <c r="H160" s="64" t="s">
        <v>222</v>
      </c>
      <c r="I160" s="49">
        <f t="shared" si="369"/>
        <v>3</v>
      </c>
      <c r="J160" s="49" t="str">
        <f t="shared" si="369"/>
        <v>LT 3</v>
      </c>
      <c r="K160" s="84">
        <f>'HKL263'!Q33</f>
        <v>6536.1</v>
      </c>
      <c r="L160" s="87">
        <f>'HKL263'!P33</f>
        <v>6723.1</v>
      </c>
      <c r="M160" s="87">
        <f t="shared" si="357"/>
        <v>1</v>
      </c>
      <c r="N160" s="84">
        <f t="shared" si="370"/>
        <v>187</v>
      </c>
      <c r="O160" s="84">
        <f>'HKL263'!F33</f>
        <v>2667.8</v>
      </c>
      <c r="P160" s="87">
        <f>'HKL263'!E33</f>
        <v>2741.8</v>
      </c>
      <c r="Q160" s="84">
        <f t="shared" si="326"/>
        <v>1</v>
      </c>
      <c r="R160" s="84">
        <f t="shared" si="371"/>
        <v>74</v>
      </c>
      <c r="S160" s="84">
        <f>'HKL263'!K33</f>
        <v>2779.7</v>
      </c>
      <c r="T160" s="87">
        <f>'HKL263'!J33</f>
        <v>2891.7</v>
      </c>
      <c r="U160" s="84">
        <f t="shared" si="360"/>
        <v>1</v>
      </c>
      <c r="V160" s="84">
        <f t="shared" si="372"/>
        <v>112</v>
      </c>
      <c r="W160" s="84"/>
      <c r="X160" s="84"/>
      <c r="Y160" s="85">
        <f t="shared" si="373"/>
        <v>2.0777777777777779</v>
      </c>
      <c r="Z160" s="84"/>
      <c r="AA160" s="82"/>
    </row>
    <row r="161" spans="1:27" s="40" customFormat="1" ht="39.950000000000003" hidden="1" customHeight="1" x14ac:dyDescent="0.25">
      <c r="A161" s="49">
        <v>26</v>
      </c>
      <c r="B161" s="50" t="s">
        <v>43</v>
      </c>
      <c r="C161" s="56" t="str">
        <f t="shared" si="323"/>
        <v>HDKOTE/1714</v>
      </c>
      <c r="D161" s="51" t="s">
        <v>148</v>
      </c>
      <c r="E161" s="55" t="str">
        <f t="shared" ref="E161:F161" si="374">E160</f>
        <v>HKL263</v>
      </c>
      <c r="F161" s="50">
        <f t="shared" si="374"/>
        <v>0.64</v>
      </c>
      <c r="G161" s="49" t="s">
        <v>221</v>
      </c>
      <c r="H161" s="64" t="s">
        <v>222</v>
      </c>
      <c r="I161" s="49">
        <f t="shared" ref="I161:J161" si="375">I160</f>
        <v>3</v>
      </c>
      <c r="J161" s="49" t="str">
        <f t="shared" si="375"/>
        <v>LT 3</v>
      </c>
      <c r="K161" s="84">
        <f>'HKL263'!Q34</f>
        <v>6723.1</v>
      </c>
      <c r="L161" s="87">
        <f>'HKL263'!P34</f>
        <v>6913.1</v>
      </c>
      <c r="M161" s="87">
        <f t="shared" si="357"/>
        <v>1</v>
      </c>
      <c r="N161" s="84">
        <f t="shared" si="370"/>
        <v>190</v>
      </c>
      <c r="O161" s="84">
        <f>'HKL263'!F34</f>
        <v>2741.8</v>
      </c>
      <c r="P161" s="87">
        <f>'HKL263'!E34</f>
        <v>2815.2</v>
      </c>
      <c r="Q161" s="84">
        <f t="shared" si="326"/>
        <v>1</v>
      </c>
      <c r="R161" s="84">
        <f t="shared" si="371"/>
        <v>73.399999999999636</v>
      </c>
      <c r="S161" s="84">
        <f>'HKL263'!K34</f>
        <v>2891.7</v>
      </c>
      <c r="T161" s="87">
        <f>'HKL263'!J34</f>
        <v>3003</v>
      </c>
      <c r="U161" s="84">
        <f t="shared" si="360"/>
        <v>1</v>
      </c>
      <c r="V161" s="84">
        <f t="shared" si="372"/>
        <v>111.30000000000018</v>
      </c>
      <c r="W161" s="84"/>
      <c r="X161" s="84"/>
      <c r="Y161" s="85">
        <f t="shared" si="373"/>
        <v>2.1111111111111112</v>
      </c>
      <c r="Z161" s="84"/>
      <c r="AA161" s="82"/>
    </row>
    <row r="162" spans="1:27" s="40" customFormat="1" ht="39.950000000000003" hidden="1" customHeight="1" x14ac:dyDescent="0.25">
      <c r="A162" s="49">
        <v>27</v>
      </c>
      <c r="B162" s="50" t="s">
        <v>43</v>
      </c>
      <c r="C162" s="56" t="str">
        <f t="shared" si="323"/>
        <v>HDKOTE/1714</v>
      </c>
      <c r="D162" s="51" t="s">
        <v>148</v>
      </c>
      <c r="E162" s="55" t="str">
        <f t="shared" ref="E162:F162" si="376">E161</f>
        <v>HKL263</v>
      </c>
      <c r="F162" s="50">
        <f t="shared" si="376"/>
        <v>0.64</v>
      </c>
      <c r="G162" s="49" t="s">
        <v>221</v>
      </c>
      <c r="H162" s="64" t="s">
        <v>222</v>
      </c>
      <c r="I162" s="49">
        <f t="shared" ref="I162:J162" si="377">I161</f>
        <v>3</v>
      </c>
      <c r="J162" s="49" t="str">
        <f t="shared" si="377"/>
        <v>LT 3</v>
      </c>
      <c r="K162" s="84">
        <f>'HKL263'!Q35</f>
        <v>6913.1</v>
      </c>
      <c r="L162" s="87">
        <f>'HKL263'!P35</f>
        <v>7125.1</v>
      </c>
      <c r="M162" s="87">
        <f t="shared" si="357"/>
        <v>1</v>
      </c>
      <c r="N162" s="84">
        <f t="shared" si="370"/>
        <v>212</v>
      </c>
      <c r="O162" s="84">
        <f>'HKL263'!F35</f>
        <v>2815.2</v>
      </c>
      <c r="P162" s="87">
        <f>'HKL263'!E35</f>
        <v>2905.8</v>
      </c>
      <c r="Q162" s="84">
        <f t="shared" si="326"/>
        <v>1</v>
      </c>
      <c r="R162" s="84">
        <f t="shared" si="371"/>
        <v>90.600000000000364</v>
      </c>
      <c r="S162" s="84">
        <f>'HKL263'!K35</f>
        <v>3003</v>
      </c>
      <c r="T162" s="87">
        <f>'HKL263'!J35</f>
        <v>3102.8</v>
      </c>
      <c r="U162" s="84">
        <f t="shared" si="360"/>
        <v>1</v>
      </c>
      <c r="V162" s="84">
        <f t="shared" si="372"/>
        <v>99.800000000000182</v>
      </c>
      <c r="W162" s="84"/>
      <c r="X162" s="84"/>
      <c r="Y162" s="85">
        <f t="shared" si="373"/>
        <v>2.3555555555555556</v>
      </c>
      <c r="Z162" s="84"/>
      <c r="AA162" s="82"/>
    </row>
    <row r="163" spans="1:27" s="40" customFormat="1" ht="39.950000000000003" hidden="1" customHeight="1" x14ac:dyDescent="0.25">
      <c r="A163" s="49">
        <v>28</v>
      </c>
      <c r="B163" s="50" t="s">
        <v>43</v>
      </c>
      <c r="C163" s="56" t="str">
        <f t="shared" si="323"/>
        <v>HDKOTE/1714</v>
      </c>
      <c r="D163" s="51" t="s">
        <v>148</v>
      </c>
      <c r="E163" s="55" t="str">
        <f t="shared" ref="E163:F165" si="378">E162</f>
        <v>HKL263</v>
      </c>
      <c r="F163" s="50">
        <f t="shared" si="378"/>
        <v>0.64</v>
      </c>
      <c r="G163" s="49" t="s">
        <v>221</v>
      </c>
      <c r="H163" s="64" t="s">
        <v>222</v>
      </c>
      <c r="I163" s="49">
        <f t="shared" ref="I163:J165" si="379">I162</f>
        <v>3</v>
      </c>
      <c r="J163" s="49" t="str">
        <f t="shared" si="379"/>
        <v>LT 3</v>
      </c>
      <c r="K163" s="84">
        <f>'HKL263'!Q36</f>
        <v>7125.1</v>
      </c>
      <c r="L163" s="87">
        <f>'HKL263'!P36</f>
        <v>7319.7</v>
      </c>
      <c r="M163" s="87">
        <f t="shared" si="357"/>
        <v>1</v>
      </c>
      <c r="N163" s="84">
        <f t="shared" ref="N163:N167" si="380">(L163-K163)*M163</f>
        <v>194.59999999999945</v>
      </c>
      <c r="O163" s="84">
        <f>'HKL263'!F36</f>
        <v>2905.8</v>
      </c>
      <c r="P163" s="87">
        <f>'HKL263'!E36</f>
        <v>2992</v>
      </c>
      <c r="Q163" s="84">
        <f t="shared" si="326"/>
        <v>1</v>
      </c>
      <c r="R163" s="84">
        <f t="shared" ref="R163:R167" si="381">(P163-O163)*Q163</f>
        <v>86.199999999999818</v>
      </c>
      <c r="S163" s="84">
        <f>'HKL263'!K36</f>
        <v>3102.8</v>
      </c>
      <c r="T163" s="87">
        <f>'HKL263'!J36</f>
        <v>3199.9</v>
      </c>
      <c r="U163" s="84">
        <f t="shared" si="360"/>
        <v>1</v>
      </c>
      <c r="V163" s="84">
        <f t="shared" ref="V163:V167" si="382">(T163-S163)*U163</f>
        <v>97.099999999999909</v>
      </c>
      <c r="W163" s="84">
        <f>'HKL263'!U36</f>
        <v>1.93</v>
      </c>
      <c r="X163" s="84">
        <f>'HKL263'!V36</f>
        <v>0.91</v>
      </c>
      <c r="Y163" s="85">
        <f t="shared" ref="Y163:Y167" si="383">N163/30/I163</f>
        <v>2.1622222222222161</v>
      </c>
      <c r="Z163" s="84"/>
      <c r="AA163" s="82"/>
    </row>
    <row r="164" spans="1:27" s="40" customFormat="1" ht="39.950000000000003" hidden="1" customHeight="1" x14ac:dyDescent="0.25">
      <c r="A164" s="49">
        <v>29</v>
      </c>
      <c r="B164" s="50" t="s">
        <v>43</v>
      </c>
      <c r="C164" s="56" t="str">
        <f t="shared" si="323"/>
        <v>HDKOTE/1714</v>
      </c>
      <c r="D164" s="51" t="s">
        <v>148</v>
      </c>
      <c r="E164" s="55" t="str">
        <f t="shared" ref="E164:F164" si="384">E163</f>
        <v>HKL263</v>
      </c>
      <c r="F164" s="50">
        <f t="shared" si="384"/>
        <v>0.64</v>
      </c>
      <c r="G164" s="49" t="s">
        <v>221</v>
      </c>
      <c r="H164" s="64" t="s">
        <v>222</v>
      </c>
      <c r="I164" s="49">
        <f t="shared" ref="I164:J164" si="385">I163</f>
        <v>3</v>
      </c>
      <c r="J164" s="49" t="str">
        <f t="shared" si="385"/>
        <v>LT 3</v>
      </c>
      <c r="K164" s="84">
        <f>'HKL263'!Q37</f>
        <v>7319.7</v>
      </c>
      <c r="L164" s="87">
        <f>'HKL263'!P37</f>
        <v>7532.8</v>
      </c>
      <c r="M164" s="87">
        <f t="shared" si="357"/>
        <v>1</v>
      </c>
      <c r="N164" s="84">
        <f t="shared" si="380"/>
        <v>213.10000000000036</v>
      </c>
      <c r="O164" s="84">
        <f>'HKL263'!F37</f>
        <v>2992</v>
      </c>
      <c r="P164" s="87">
        <f>'HKL263'!E37</f>
        <v>3080.5</v>
      </c>
      <c r="Q164" s="84">
        <f t="shared" si="326"/>
        <v>1</v>
      </c>
      <c r="R164" s="84">
        <f t="shared" si="381"/>
        <v>88.5</v>
      </c>
      <c r="S164" s="84">
        <f>'HKL263'!K37</f>
        <v>3199.9</v>
      </c>
      <c r="T164" s="87">
        <f>'HKL263'!J37</f>
        <v>3296.8</v>
      </c>
      <c r="U164" s="84">
        <f t="shared" si="360"/>
        <v>1</v>
      </c>
      <c r="V164" s="84">
        <f t="shared" si="382"/>
        <v>96.900000000000091</v>
      </c>
      <c r="W164" s="84">
        <f>'HKL263'!U37</f>
        <v>1.76</v>
      </c>
      <c r="X164" s="84">
        <f>'HKL263'!V37</f>
        <v>0.94</v>
      </c>
      <c r="Y164" s="85">
        <f t="shared" si="383"/>
        <v>2.3677777777777815</v>
      </c>
      <c r="Z164" s="84"/>
      <c r="AA164" s="82"/>
    </row>
    <row r="165" spans="1:27" s="40" customFormat="1" ht="39.950000000000003" customHeight="1" x14ac:dyDescent="0.25">
      <c r="A165" s="49">
        <v>30</v>
      </c>
      <c r="B165" s="50" t="s">
        <v>43</v>
      </c>
      <c r="C165" s="56" t="str">
        <f t="shared" si="323"/>
        <v>HDKOTE/1714</v>
      </c>
      <c r="D165" s="51" t="s">
        <v>148</v>
      </c>
      <c r="E165" s="55" t="str">
        <f t="shared" si="378"/>
        <v>HKL263</v>
      </c>
      <c r="F165" s="50">
        <f t="shared" si="378"/>
        <v>0.64</v>
      </c>
      <c r="G165" s="49" t="s">
        <v>221</v>
      </c>
      <c r="H165" s="64" t="s">
        <v>222</v>
      </c>
      <c r="I165" s="49">
        <f t="shared" si="379"/>
        <v>3</v>
      </c>
      <c r="J165" s="49" t="str">
        <f t="shared" si="379"/>
        <v>LT 3</v>
      </c>
      <c r="K165" s="84">
        <f>'HKL263'!Q38</f>
        <v>7532.8</v>
      </c>
      <c r="L165" s="87">
        <f>'HKL263'!P38</f>
        <v>7648</v>
      </c>
      <c r="M165" s="87">
        <f t="shared" si="357"/>
        <v>1</v>
      </c>
      <c r="N165" s="84">
        <f t="shared" ref="N165" si="386">(L165-K165)*M165</f>
        <v>115.19999999999982</v>
      </c>
      <c r="O165" s="84">
        <f>'HKL263'!F38</f>
        <v>3080.5</v>
      </c>
      <c r="P165" s="87">
        <f>'HKL263'!E38</f>
        <v>3174.1</v>
      </c>
      <c r="Q165" s="84">
        <f t="shared" si="326"/>
        <v>1</v>
      </c>
      <c r="R165" s="84">
        <f t="shared" ref="R165" si="387">(P165-O165)*Q165</f>
        <v>93.599999999999909</v>
      </c>
      <c r="S165" s="84">
        <f>'HKL263'!K38</f>
        <v>3296.8</v>
      </c>
      <c r="T165" s="87">
        <f>'HKL263'!J38</f>
        <v>3358.7</v>
      </c>
      <c r="U165" s="84">
        <f t="shared" si="360"/>
        <v>1</v>
      </c>
      <c r="V165" s="84">
        <f t="shared" ref="V165" si="388">(T165-S165)*U165</f>
        <v>61.899999999999636</v>
      </c>
      <c r="W165" s="84">
        <f>'HKL263'!U38</f>
        <v>0.89</v>
      </c>
      <c r="X165" s="84">
        <f>'HKL263'!V38</f>
        <v>0.98</v>
      </c>
      <c r="Y165" s="85">
        <f t="shared" si="383"/>
        <v>1.279999999999998</v>
      </c>
      <c r="Z165" s="84"/>
      <c r="AA165" s="82"/>
    </row>
    <row r="166" spans="1:27" s="40" customFormat="1" ht="39.950000000000003" hidden="1" customHeight="1" x14ac:dyDescent="0.25">
      <c r="A166" s="49">
        <v>31</v>
      </c>
      <c r="B166" s="50" t="s">
        <v>43</v>
      </c>
      <c r="C166" s="56" t="str">
        <f t="shared" si="323"/>
        <v>HDKOTE/1714</v>
      </c>
      <c r="D166" s="51" t="s">
        <v>148</v>
      </c>
      <c r="E166" s="55" t="str">
        <f t="shared" ref="E166:F166" si="389">E165</f>
        <v>HKL263</v>
      </c>
      <c r="F166" s="50">
        <f t="shared" si="389"/>
        <v>0.64</v>
      </c>
      <c r="G166" s="49" t="s">
        <v>221</v>
      </c>
      <c r="H166" s="64" t="s">
        <v>222</v>
      </c>
      <c r="I166" s="49">
        <f t="shared" ref="I166:J166" si="390">I165</f>
        <v>3</v>
      </c>
      <c r="J166" s="49" t="str">
        <f t="shared" si="390"/>
        <v>LT 3</v>
      </c>
      <c r="K166" s="84">
        <f>'HKL263'!Q39</f>
        <v>7648</v>
      </c>
      <c r="L166" s="87">
        <f>'HKL263'!P39</f>
        <v>7805.3</v>
      </c>
      <c r="M166" s="87">
        <f t="shared" si="357"/>
        <v>1</v>
      </c>
      <c r="N166" s="84">
        <f t="shared" si="380"/>
        <v>157.30000000000018</v>
      </c>
      <c r="O166" s="84">
        <f>'HKL263'!F39</f>
        <v>3174.1</v>
      </c>
      <c r="P166" s="87">
        <f>'HKL263'!E39</f>
        <v>3269</v>
      </c>
      <c r="Q166" s="84">
        <f t="shared" si="326"/>
        <v>1</v>
      </c>
      <c r="R166" s="84">
        <f t="shared" si="381"/>
        <v>94.900000000000091</v>
      </c>
      <c r="S166" s="84">
        <f>'HKL263'!K39</f>
        <v>3358.7</v>
      </c>
      <c r="T166" s="87">
        <f>'HKL263'!J39</f>
        <v>3445.4</v>
      </c>
      <c r="U166" s="84">
        <f t="shared" si="360"/>
        <v>1</v>
      </c>
      <c r="V166" s="84">
        <f t="shared" si="382"/>
        <v>86.700000000000273</v>
      </c>
      <c r="W166" s="84"/>
      <c r="X166" s="84"/>
      <c r="Y166" s="85">
        <f t="shared" si="383"/>
        <v>1.7477777777777799</v>
      </c>
      <c r="Z166" s="84"/>
      <c r="AA166" s="82"/>
    </row>
    <row r="167" spans="1:27" s="40" customFormat="1" ht="39.950000000000003" hidden="1" customHeight="1" x14ac:dyDescent="0.25">
      <c r="A167" s="49">
        <v>32</v>
      </c>
      <c r="B167" s="50" t="s">
        <v>43</v>
      </c>
      <c r="C167" s="56" t="str">
        <f t="shared" si="323"/>
        <v>HDKOTE/1714</v>
      </c>
      <c r="D167" s="51" t="s">
        <v>148</v>
      </c>
      <c r="E167" s="55" t="str">
        <f t="shared" ref="E167:F167" si="391">E166</f>
        <v>HKL263</v>
      </c>
      <c r="F167" s="50">
        <f t="shared" si="391"/>
        <v>0.64</v>
      </c>
      <c r="G167" s="49" t="s">
        <v>221</v>
      </c>
      <c r="H167" s="64" t="s">
        <v>222</v>
      </c>
      <c r="I167" s="49">
        <f t="shared" ref="I167:J167" si="392">I166</f>
        <v>3</v>
      </c>
      <c r="J167" s="49" t="str">
        <f t="shared" si="392"/>
        <v>LT 3</v>
      </c>
      <c r="K167" s="84">
        <f>'HKL263'!Q40</f>
        <v>7805.3</v>
      </c>
      <c r="L167" s="87">
        <f>'HKL263'!P40</f>
        <v>7977.3</v>
      </c>
      <c r="M167" s="87">
        <f t="shared" si="357"/>
        <v>1</v>
      </c>
      <c r="N167" s="84">
        <f t="shared" si="380"/>
        <v>172</v>
      </c>
      <c r="O167" s="84">
        <f>'HKL263'!F40</f>
        <v>3269</v>
      </c>
      <c r="P167" s="87">
        <f>'HKL263'!E40</f>
        <v>3374.3</v>
      </c>
      <c r="Q167" s="84">
        <f t="shared" si="326"/>
        <v>1</v>
      </c>
      <c r="R167" s="84">
        <f t="shared" si="381"/>
        <v>105.30000000000018</v>
      </c>
      <c r="S167" s="84">
        <f>'HKL263'!K40</f>
        <v>3445.4</v>
      </c>
      <c r="T167" s="87">
        <f>'HKL263'!J40</f>
        <v>3541.4</v>
      </c>
      <c r="U167" s="84">
        <f t="shared" si="360"/>
        <v>1</v>
      </c>
      <c r="V167" s="84">
        <f t="shared" si="382"/>
        <v>96</v>
      </c>
      <c r="W167" s="84"/>
      <c r="X167" s="84"/>
      <c r="Y167" s="85">
        <f t="shared" si="383"/>
        <v>1.9111111111111112</v>
      </c>
      <c r="Z167" s="84"/>
      <c r="AA167" s="82"/>
    </row>
    <row r="168" spans="1:27" s="40" customFormat="1" ht="39.950000000000003" hidden="1" customHeight="1" x14ac:dyDescent="0.25">
      <c r="A168" s="49"/>
      <c r="B168" s="50"/>
      <c r="C168" s="56"/>
      <c r="D168" s="51"/>
      <c r="E168" s="55"/>
      <c r="F168" s="50"/>
      <c r="G168" s="49"/>
      <c r="H168" s="64"/>
      <c r="I168" s="49"/>
      <c r="J168" s="49"/>
      <c r="K168" s="84"/>
      <c r="L168" s="87"/>
      <c r="M168" s="87"/>
      <c r="N168" s="84"/>
      <c r="O168" s="84"/>
      <c r="P168" s="87"/>
      <c r="Q168" s="84"/>
      <c r="R168" s="84"/>
      <c r="S168" s="84"/>
      <c r="T168" s="87"/>
      <c r="U168" s="84"/>
      <c r="V168" s="84"/>
      <c r="W168" s="84"/>
      <c r="X168" s="84"/>
      <c r="Y168" s="85"/>
      <c r="Z168" s="84"/>
      <c r="AA168" s="82"/>
    </row>
    <row r="169" spans="1:27" s="40" customFormat="1" ht="39.950000000000003" hidden="1" customHeight="1" x14ac:dyDescent="0.25">
      <c r="A169" s="49">
        <v>1</v>
      </c>
      <c r="B169" s="50" t="s">
        <v>43</v>
      </c>
      <c r="C169" s="56" t="s">
        <v>229</v>
      </c>
      <c r="D169" s="51" t="s">
        <v>155</v>
      </c>
      <c r="E169" s="55" t="s">
        <v>153</v>
      </c>
      <c r="F169" s="50">
        <v>0.72</v>
      </c>
      <c r="G169" s="49" t="s">
        <v>221</v>
      </c>
      <c r="H169" s="64" t="s">
        <v>222</v>
      </c>
      <c r="I169" s="49">
        <v>3</v>
      </c>
      <c r="J169" s="49" t="s">
        <v>224</v>
      </c>
      <c r="K169" s="84">
        <f>'HKL351'!Q8</f>
        <v>2341.9</v>
      </c>
      <c r="L169" s="84">
        <v>2640</v>
      </c>
      <c r="M169" s="84">
        <f>'[1]April-18'!M11</f>
        <v>1</v>
      </c>
      <c r="N169" s="84">
        <f t="shared" si="0"/>
        <v>298.09999999999991</v>
      </c>
      <c r="O169" s="84">
        <f>'HKL351'!F8</f>
        <v>133.80000000000001</v>
      </c>
      <c r="P169" s="84">
        <f>'HKL351'!E8</f>
        <v>296.5</v>
      </c>
      <c r="Q169" s="84">
        <v>1</v>
      </c>
      <c r="R169" s="84">
        <f t="shared" si="7"/>
        <v>162.69999999999999</v>
      </c>
      <c r="S169" s="84">
        <f>'HKL351'!K8</f>
        <v>105.2</v>
      </c>
      <c r="T169" s="84">
        <f>'HKL351'!J8</f>
        <v>208.2</v>
      </c>
      <c r="U169" s="84">
        <f>'[1]April-18'!U11</f>
        <v>1</v>
      </c>
      <c r="V169" s="84">
        <f t="shared" si="8"/>
        <v>102.99999999999999</v>
      </c>
      <c r="W169" s="84"/>
      <c r="X169" s="84"/>
      <c r="Y169" s="85">
        <f t="shared" si="87"/>
        <v>3.3122222222222213</v>
      </c>
      <c r="Z169" s="84"/>
      <c r="AA169" s="82" t="str">
        <f>'HKL351'!B8</f>
        <v>01.08.2019</v>
      </c>
    </row>
    <row r="170" spans="1:27" s="40" customFormat="1" ht="39.950000000000003" hidden="1" customHeight="1" x14ac:dyDescent="0.25">
      <c r="A170" s="49">
        <v>2</v>
      </c>
      <c r="B170" s="50" t="s">
        <v>43</v>
      </c>
      <c r="C170" s="56" t="str">
        <f>C169</f>
        <v>HDKOTE/1714</v>
      </c>
      <c r="D170" s="51" t="s">
        <v>155</v>
      </c>
      <c r="E170" s="55" t="str">
        <f>E169</f>
        <v>HKL351</v>
      </c>
      <c r="F170" s="50">
        <f>F169</f>
        <v>0.72</v>
      </c>
      <c r="G170" s="49" t="s">
        <v>221</v>
      </c>
      <c r="H170" s="64" t="s">
        <v>222</v>
      </c>
      <c r="I170" s="49">
        <f>I169</f>
        <v>3</v>
      </c>
      <c r="J170" s="49" t="str">
        <f>J169</f>
        <v>LT 3</v>
      </c>
      <c r="K170" s="84">
        <f>'HKL351'!Q9</f>
        <v>2549</v>
      </c>
      <c r="L170" s="84">
        <f>'HKL351'!P9</f>
        <v>2731</v>
      </c>
      <c r="M170" s="84">
        <f>'[1]April-18'!M12</f>
        <v>1</v>
      </c>
      <c r="N170" s="84">
        <f t="shared" si="0"/>
        <v>182</v>
      </c>
      <c r="O170" s="84">
        <f>'HKL351'!F9</f>
        <v>296.5</v>
      </c>
      <c r="P170" s="84">
        <f>'HKL351'!E9</f>
        <v>467</v>
      </c>
      <c r="Q170" s="84">
        <f>Q169</f>
        <v>1</v>
      </c>
      <c r="R170" s="84">
        <f t="shared" si="7"/>
        <v>170.5</v>
      </c>
      <c r="S170" s="84">
        <f>'HKL351'!K9</f>
        <v>208.2</v>
      </c>
      <c r="T170" s="84">
        <f>'HKL351'!J9</f>
        <v>292</v>
      </c>
      <c r="U170" s="84">
        <f>'[1]April-18'!U12</f>
        <v>1</v>
      </c>
      <c r="V170" s="84">
        <f t="shared" si="8"/>
        <v>83.800000000000011</v>
      </c>
      <c r="W170" s="84"/>
      <c r="X170" s="84"/>
      <c r="Y170" s="85">
        <f t="shared" si="87"/>
        <v>2.0222222222222221</v>
      </c>
      <c r="Z170" s="84"/>
      <c r="AA170" s="82" t="str">
        <f>'HKL351'!B9</f>
        <v>01.09.2019</v>
      </c>
    </row>
    <row r="171" spans="1:27" s="40" customFormat="1" ht="39.950000000000003" hidden="1" customHeight="1" x14ac:dyDescent="0.25">
      <c r="A171" s="49">
        <v>3</v>
      </c>
      <c r="B171" s="50" t="s">
        <v>43</v>
      </c>
      <c r="C171" s="56" t="str">
        <f>C170</f>
        <v>HDKOTE/1714</v>
      </c>
      <c r="D171" s="51" t="s">
        <v>155</v>
      </c>
      <c r="E171" s="55" t="str">
        <f>E170</f>
        <v>HKL351</v>
      </c>
      <c r="F171" s="50">
        <f>F170</f>
        <v>0.72</v>
      </c>
      <c r="G171" s="49" t="s">
        <v>221</v>
      </c>
      <c r="H171" s="64" t="s">
        <v>222</v>
      </c>
      <c r="I171" s="49">
        <f>I170</f>
        <v>3</v>
      </c>
      <c r="J171" s="49" t="str">
        <f>J170</f>
        <v>LT 3</v>
      </c>
      <c r="K171" s="84">
        <f>'HKL351'!Q10</f>
        <v>2731</v>
      </c>
      <c r="L171" s="84">
        <f>'HKL351'!P10</f>
        <v>2957.3</v>
      </c>
      <c r="M171" s="84">
        <f>'[1]April-18'!M13</f>
        <v>1</v>
      </c>
      <c r="N171" s="84">
        <f t="shared" si="0"/>
        <v>226.30000000000018</v>
      </c>
      <c r="O171" s="84">
        <f>'HKL351'!F10</f>
        <v>467</v>
      </c>
      <c r="P171" s="84">
        <f>'HKL351'!E10</f>
        <v>633.1</v>
      </c>
      <c r="Q171" s="84">
        <f>Q170</f>
        <v>1</v>
      </c>
      <c r="R171" s="84">
        <f t="shared" si="7"/>
        <v>166.10000000000002</v>
      </c>
      <c r="S171" s="84">
        <f>'HKL351'!K10</f>
        <v>292</v>
      </c>
      <c r="T171" s="84">
        <f>'HKL351'!J10</f>
        <v>403</v>
      </c>
      <c r="U171" s="84">
        <f>'[1]April-18'!U13</f>
        <v>1</v>
      </c>
      <c r="V171" s="84">
        <f t="shared" si="8"/>
        <v>111</v>
      </c>
      <c r="W171" s="84"/>
      <c r="X171" s="84"/>
      <c r="Y171" s="85">
        <f t="shared" si="87"/>
        <v>2.5144444444444463</v>
      </c>
      <c r="Z171" s="84"/>
      <c r="AA171" s="82" t="str">
        <f>'HKL351'!B10</f>
        <v>01.10.2019</v>
      </c>
    </row>
    <row r="172" spans="1:27" s="40" customFormat="1" ht="39.950000000000003" hidden="1" customHeight="1" x14ac:dyDescent="0.25">
      <c r="A172" s="49">
        <v>4</v>
      </c>
      <c r="B172" s="50" t="s">
        <v>43</v>
      </c>
      <c r="C172" s="56" t="str">
        <f t="shared" ref="C172:C200" si="393">C171</f>
        <v>HDKOTE/1714</v>
      </c>
      <c r="D172" s="51" t="s">
        <v>155</v>
      </c>
      <c r="E172" s="55" t="str">
        <f t="shared" ref="E172:F175" si="394">E171</f>
        <v>HKL351</v>
      </c>
      <c r="F172" s="50">
        <f t="shared" si="394"/>
        <v>0.72</v>
      </c>
      <c r="G172" s="49" t="s">
        <v>221</v>
      </c>
      <c r="H172" s="64" t="s">
        <v>222</v>
      </c>
      <c r="I172" s="49">
        <f t="shared" ref="I172:J175" si="395">I171</f>
        <v>3</v>
      </c>
      <c r="J172" s="49" t="str">
        <f t="shared" si="395"/>
        <v>LT 3</v>
      </c>
      <c r="K172" s="84">
        <f>'HKL351'!Q11</f>
        <v>2957.3</v>
      </c>
      <c r="L172" s="84">
        <f>'HKL351'!P11</f>
        <v>3146.9</v>
      </c>
      <c r="M172" s="84">
        <f>'[1]April-18'!M14</f>
        <v>1</v>
      </c>
      <c r="N172" s="84">
        <f t="shared" si="0"/>
        <v>189.59999999999991</v>
      </c>
      <c r="O172" s="84">
        <f>'HKL351'!F11</f>
        <v>633.1</v>
      </c>
      <c r="P172" s="84">
        <f>'HKL351'!E11</f>
        <v>804.4</v>
      </c>
      <c r="Q172" s="84">
        <f t="shared" ref="Q172:Q200" si="396">Q171</f>
        <v>1</v>
      </c>
      <c r="R172" s="84">
        <f t="shared" si="7"/>
        <v>171.29999999999995</v>
      </c>
      <c r="S172" s="84">
        <f>'HKL351'!K11</f>
        <v>403</v>
      </c>
      <c r="T172" s="84">
        <f>'HKL351'!J11</f>
        <v>514.79999999999995</v>
      </c>
      <c r="U172" s="84">
        <f>'[1]April-18'!U14</f>
        <v>1</v>
      </c>
      <c r="V172" s="84">
        <f t="shared" si="8"/>
        <v>111.79999999999995</v>
      </c>
      <c r="W172" s="84"/>
      <c r="X172" s="84"/>
      <c r="Y172" s="85">
        <f t="shared" si="87"/>
        <v>2.1066666666666656</v>
      </c>
      <c r="Z172" s="84"/>
      <c r="AA172" s="82" t="str">
        <f>'HKL351'!B11</f>
        <v>01.11.2019</v>
      </c>
    </row>
    <row r="173" spans="1:27" s="40" customFormat="1" ht="39.950000000000003" hidden="1" customHeight="1" x14ac:dyDescent="0.25">
      <c r="A173" s="49">
        <v>5</v>
      </c>
      <c r="B173" s="50" t="s">
        <v>43</v>
      </c>
      <c r="C173" s="56" t="str">
        <f t="shared" si="393"/>
        <v>HDKOTE/1714</v>
      </c>
      <c r="D173" s="51" t="s">
        <v>155</v>
      </c>
      <c r="E173" s="55" t="str">
        <f t="shared" si="394"/>
        <v>HKL351</v>
      </c>
      <c r="F173" s="50">
        <f t="shared" si="394"/>
        <v>0.72</v>
      </c>
      <c r="G173" s="49" t="s">
        <v>221</v>
      </c>
      <c r="H173" s="64" t="s">
        <v>222</v>
      </c>
      <c r="I173" s="49">
        <f t="shared" si="395"/>
        <v>3</v>
      </c>
      <c r="J173" s="49" t="str">
        <f t="shared" si="395"/>
        <v>LT 3</v>
      </c>
      <c r="K173" s="84">
        <f>'HKL351'!Q12</f>
        <v>3146.9</v>
      </c>
      <c r="L173" s="84">
        <f>'HKL351'!P12</f>
        <v>3364.9</v>
      </c>
      <c r="M173" s="84">
        <f>'[1]April-18'!M15</f>
        <v>1</v>
      </c>
      <c r="N173" s="84">
        <f t="shared" si="0"/>
        <v>218</v>
      </c>
      <c r="O173" s="84">
        <f>'HKL351'!F12</f>
        <v>804.4</v>
      </c>
      <c r="P173" s="84">
        <f>'HKL351'!E12</f>
        <v>974.5</v>
      </c>
      <c r="Q173" s="84">
        <f t="shared" si="396"/>
        <v>1</v>
      </c>
      <c r="R173" s="84">
        <f t="shared" si="7"/>
        <v>170.10000000000002</v>
      </c>
      <c r="S173" s="84">
        <f>'HKL351'!K12</f>
        <v>514.79999999999995</v>
      </c>
      <c r="T173" s="84">
        <f>'HKL351'!J12</f>
        <v>624.5</v>
      </c>
      <c r="U173" s="84">
        <f>'[1]April-18'!U15</f>
        <v>1</v>
      </c>
      <c r="V173" s="84">
        <f t="shared" si="8"/>
        <v>109.70000000000005</v>
      </c>
      <c r="W173" s="84"/>
      <c r="X173" s="84"/>
      <c r="Y173" s="85">
        <f t="shared" si="87"/>
        <v>2.4222222222222221</v>
      </c>
      <c r="Z173" s="84"/>
      <c r="AA173" s="82" t="str">
        <f>'HKL351'!B12</f>
        <v>01.12.2019</v>
      </c>
    </row>
    <row r="174" spans="1:27" s="40" customFormat="1" ht="39.950000000000003" hidden="1" customHeight="1" x14ac:dyDescent="0.25">
      <c r="A174" s="49">
        <v>6</v>
      </c>
      <c r="B174" s="50" t="s">
        <v>43</v>
      </c>
      <c r="C174" s="56" t="str">
        <f t="shared" si="393"/>
        <v>HDKOTE/1714</v>
      </c>
      <c r="D174" s="51" t="s">
        <v>155</v>
      </c>
      <c r="E174" s="55" t="str">
        <f t="shared" si="394"/>
        <v>HKL351</v>
      </c>
      <c r="F174" s="50">
        <f t="shared" si="394"/>
        <v>0.72</v>
      </c>
      <c r="G174" s="49" t="s">
        <v>221</v>
      </c>
      <c r="H174" s="64" t="s">
        <v>222</v>
      </c>
      <c r="I174" s="49">
        <f t="shared" si="395"/>
        <v>3</v>
      </c>
      <c r="J174" s="49" t="str">
        <f t="shared" si="395"/>
        <v>LT 3</v>
      </c>
      <c r="K174" s="84">
        <f>'HKL351'!Q13</f>
        <v>3364.9</v>
      </c>
      <c r="L174" s="84">
        <f>'HKL351'!P13</f>
        <v>3544</v>
      </c>
      <c r="M174" s="84">
        <f>'[1]April-18'!M16</f>
        <v>1</v>
      </c>
      <c r="N174" s="84">
        <f t="shared" si="0"/>
        <v>179.09999999999991</v>
      </c>
      <c r="O174" s="84">
        <f>'HKL351'!F13</f>
        <v>974.5</v>
      </c>
      <c r="P174" s="84">
        <f>'HKL351'!E13</f>
        <v>1138</v>
      </c>
      <c r="Q174" s="84">
        <f t="shared" si="396"/>
        <v>1</v>
      </c>
      <c r="R174" s="84">
        <f t="shared" si="7"/>
        <v>163.5</v>
      </c>
      <c r="S174" s="84">
        <f>'HKL351'!K13</f>
        <v>624.5</v>
      </c>
      <c r="T174" s="84">
        <f>'HKL351'!J13</f>
        <v>724</v>
      </c>
      <c r="U174" s="84">
        <f>'[1]April-18'!U16</f>
        <v>1</v>
      </c>
      <c r="V174" s="84">
        <f t="shared" si="8"/>
        <v>99.5</v>
      </c>
      <c r="W174" s="84"/>
      <c r="X174" s="84"/>
      <c r="Y174" s="85">
        <f t="shared" si="87"/>
        <v>1.9899999999999991</v>
      </c>
      <c r="Z174" s="84"/>
      <c r="AA174" s="82" t="str">
        <f>'HKL351'!B13</f>
        <v>01.01.2020</v>
      </c>
    </row>
    <row r="175" spans="1:27" s="40" customFormat="1" ht="39.950000000000003" hidden="1" customHeight="1" x14ac:dyDescent="0.25">
      <c r="A175" s="49">
        <v>7</v>
      </c>
      <c r="B175" s="50" t="s">
        <v>43</v>
      </c>
      <c r="C175" s="56" t="str">
        <f t="shared" si="393"/>
        <v>HDKOTE/1714</v>
      </c>
      <c r="D175" s="51" t="s">
        <v>155</v>
      </c>
      <c r="E175" s="55" t="str">
        <f t="shared" si="394"/>
        <v>HKL351</v>
      </c>
      <c r="F175" s="50">
        <f t="shared" si="394"/>
        <v>0.72</v>
      </c>
      <c r="G175" s="49" t="s">
        <v>221</v>
      </c>
      <c r="H175" s="64" t="s">
        <v>222</v>
      </c>
      <c r="I175" s="49">
        <f t="shared" si="395"/>
        <v>3</v>
      </c>
      <c r="J175" s="49" t="str">
        <f t="shared" si="395"/>
        <v>LT 3</v>
      </c>
      <c r="K175" s="84">
        <f>'HKL351'!Q14</f>
        <v>3544</v>
      </c>
      <c r="L175" s="84">
        <f>'HKL351'!P14</f>
        <v>3805</v>
      </c>
      <c r="M175" s="84">
        <f>'[1]April-18'!M17</f>
        <v>1</v>
      </c>
      <c r="N175" s="84">
        <f t="shared" si="0"/>
        <v>261</v>
      </c>
      <c r="O175" s="84">
        <f>'HKL351'!F14</f>
        <v>1138</v>
      </c>
      <c r="P175" s="84">
        <f>'HKL351'!E14</f>
        <v>1308</v>
      </c>
      <c r="Q175" s="84">
        <f t="shared" si="396"/>
        <v>1</v>
      </c>
      <c r="R175" s="84">
        <f t="shared" si="7"/>
        <v>170</v>
      </c>
      <c r="S175" s="84">
        <f>'HKL351'!K14</f>
        <v>724</v>
      </c>
      <c r="T175" s="84">
        <f>'HKL351'!J14</f>
        <v>859</v>
      </c>
      <c r="U175" s="84">
        <f>'[1]April-18'!U17</f>
        <v>1</v>
      </c>
      <c r="V175" s="84">
        <f t="shared" si="8"/>
        <v>135</v>
      </c>
      <c r="W175" s="84"/>
      <c r="X175" s="84"/>
      <c r="Y175" s="85">
        <f t="shared" si="87"/>
        <v>2.9</v>
      </c>
      <c r="Z175" s="84"/>
      <c r="AA175" s="82" t="s">
        <v>253</v>
      </c>
    </row>
    <row r="176" spans="1:27" s="40" customFormat="1" ht="39.950000000000003" hidden="1" customHeight="1" x14ac:dyDescent="0.25">
      <c r="A176" s="49">
        <v>8</v>
      </c>
      <c r="B176" s="50" t="s">
        <v>43</v>
      </c>
      <c r="C176" s="56" t="str">
        <f t="shared" si="393"/>
        <v>HDKOTE/1714</v>
      </c>
      <c r="D176" s="51" t="s">
        <v>155</v>
      </c>
      <c r="E176" s="55" t="str">
        <f t="shared" ref="E176:F176" si="397">E175</f>
        <v>HKL351</v>
      </c>
      <c r="F176" s="50">
        <f t="shared" si="397"/>
        <v>0.72</v>
      </c>
      <c r="G176" s="49" t="s">
        <v>221</v>
      </c>
      <c r="H176" s="64" t="s">
        <v>222</v>
      </c>
      <c r="I176" s="49">
        <f t="shared" ref="I176:J176" si="398">I175</f>
        <v>3</v>
      </c>
      <c r="J176" s="49" t="str">
        <f t="shared" si="398"/>
        <v>LT 3</v>
      </c>
      <c r="K176" s="84">
        <f>'HKL351'!Q15</f>
        <v>3805</v>
      </c>
      <c r="L176" s="84">
        <f>'HKL351'!P15</f>
        <v>4066</v>
      </c>
      <c r="M176" s="84">
        <f>'[1]April-18'!M18</f>
        <v>1</v>
      </c>
      <c r="N176" s="84">
        <f t="shared" ref="N176:N182" si="399">(L176-K176)*M176</f>
        <v>261</v>
      </c>
      <c r="O176" s="84">
        <f>'HKL351'!F15</f>
        <v>1308</v>
      </c>
      <c r="P176" s="84">
        <f>'HKL351'!E15</f>
        <v>1552</v>
      </c>
      <c r="Q176" s="84">
        <f t="shared" si="396"/>
        <v>1</v>
      </c>
      <c r="R176" s="84">
        <f t="shared" ref="R176:R182" si="400">(P176-O176)*Q176</f>
        <v>244</v>
      </c>
      <c r="S176" s="84">
        <f>'HKL351'!K15</f>
        <v>859</v>
      </c>
      <c r="T176" s="84">
        <f>'HKL351'!J15</f>
        <v>925.8</v>
      </c>
      <c r="U176" s="84">
        <f>'[1]April-18'!U18</f>
        <v>1</v>
      </c>
      <c r="V176" s="84">
        <f t="shared" ref="V176:V182" si="401">(T176-S176)*U176</f>
        <v>66.799999999999955</v>
      </c>
      <c r="W176" s="84"/>
      <c r="X176" s="84"/>
      <c r="Y176" s="85">
        <f t="shared" ref="Y176:Y182" si="402">N176/30/I176</f>
        <v>2.9</v>
      </c>
      <c r="Z176" s="84"/>
      <c r="AA176" s="82" t="s">
        <v>254</v>
      </c>
    </row>
    <row r="177" spans="1:27" s="40" customFormat="1" ht="39.950000000000003" hidden="1" customHeight="1" x14ac:dyDescent="0.25">
      <c r="A177" s="49">
        <v>9</v>
      </c>
      <c r="B177" s="50" t="s">
        <v>43</v>
      </c>
      <c r="C177" s="56" t="str">
        <f t="shared" si="393"/>
        <v>HDKOTE/1714</v>
      </c>
      <c r="D177" s="51" t="s">
        <v>155</v>
      </c>
      <c r="E177" s="55" t="str">
        <f t="shared" ref="E177:F177" si="403">E176</f>
        <v>HKL351</v>
      </c>
      <c r="F177" s="50">
        <f t="shared" si="403"/>
        <v>0.72</v>
      </c>
      <c r="G177" s="49" t="s">
        <v>221</v>
      </c>
      <c r="H177" s="64" t="s">
        <v>222</v>
      </c>
      <c r="I177" s="49">
        <f t="shared" ref="I177:J177" si="404">I176</f>
        <v>3</v>
      </c>
      <c r="J177" s="49" t="str">
        <f t="shared" si="404"/>
        <v>LT 3</v>
      </c>
      <c r="K177" s="84">
        <f>'HKL351'!Q16</f>
        <v>4066</v>
      </c>
      <c r="L177" s="84">
        <f>'HKL351'!P16</f>
        <v>4389</v>
      </c>
      <c r="M177" s="84">
        <f>'[1]April-18'!M19</f>
        <v>1</v>
      </c>
      <c r="N177" s="84">
        <f t="shared" si="399"/>
        <v>323</v>
      </c>
      <c r="O177" s="84">
        <f>'HKL351'!F16</f>
        <v>1552</v>
      </c>
      <c r="P177" s="84">
        <f>'HKL351'!E16</f>
        <v>1694</v>
      </c>
      <c r="Q177" s="84">
        <f t="shared" si="396"/>
        <v>1</v>
      </c>
      <c r="R177" s="84">
        <f t="shared" si="400"/>
        <v>142</v>
      </c>
      <c r="S177" s="84">
        <f>'HKL351'!K16</f>
        <v>925.8</v>
      </c>
      <c r="T177" s="84">
        <f>'HKL351'!J16</f>
        <v>1106.8</v>
      </c>
      <c r="U177" s="84">
        <f>'[1]April-18'!U19</f>
        <v>1</v>
      </c>
      <c r="V177" s="84">
        <f t="shared" si="401"/>
        <v>181</v>
      </c>
      <c r="W177" s="84"/>
      <c r="X177" s="84"/>
      <c r="Y177" s="85">
        <f t="shared" si="402"/>
        <v>3.588888888888889</v>
      </c>
      <c r="Z177" s="84"/>
      <c r="AA177" s="82" t="s">
        <v>258</v>
      </c>
    </row>
    <row r="178" spans="1:27" s="40" customFormat="1" ht="39.950000000000003" hidden="1" customHeight="1" x14ac:dyDescent="0.25">
      <c r="A178" s="49">
        <v>10</v>
      </c>
      <c r="B178" s="50" t="s">
        <v>43</v>
      </c>
      <c r="C178" s="56" t="str">
        <f t="shared" si="393"/>
        <v>HDKOTE/1714</v>
      </c>
      <c r="D178" s="51" t="s">
        <v>155</v>
      </c>
      <c r="E178" s="55" t="str">
        <f t="shared" ref="E178:F178" si="405">E177</f>
        <v>HKL351</v>
      </c>
      <c r="F178" s="50">
        <f t="shared" si="405"/>
        <v>0.72</v>
      </c>
      <c r="G178" s="49" t="s">
        <v>221</v>
      </c>
      <c r="H178" s="64" t="s">
        <v>222</v>
      </c>
      <c r="I178" s="49">
        <f t="shared" ref="I178:J178" si="406">I177</f>
        <v>3</v>
      </c>
      <c r="J178" s="49" t="str">
        <f t="shared" si="406"/>
        <v>LT 3</v>
      </c>
      <c r="K178" s="84">
        <f>'HKL351'!Q17</f>
        <v>0</v>
      </c>
      <c r="L178" s="84">
        <f>'HKL351'!P17</f>
        <v>0</v>
      </c>
      <c r="M178" s="84">
        <f>'[1]April-18'!M20</f>
        <v>1</v>
      </c>
      <c r="N178" s="84">
        <f t="shared" si="399"/>
        <v>0</v>
      </c>
      <c r="O178" s="84">
        <f>'HKL351'!F17</f>
        <v>0</v>
      </c>
      <c r="P178" s="84">
        <f>'HKL351'!E17</f>
        <v>0</v>
      </c>
      <c r="Q178" s="84">
        <f t="shared" si="396"/>
        <v>1</v>
      </c>
      <c r="R178" s="84">
        <f t="shared" si="400"/>
        <v>0</v>
      </c>
      <c r="S178" s="84">
        <f>'HKL351'!K17</f>
        <v>0</v>
      </c>
      <c r="T178" s="84">
        <f>'HKL351'!J17</f>
        <v>0</v>
      </c>
      <c r="U178" s="84">
        <f>'[1]April-18'!U20</f>
        <v>1</v>
      </c>
      <c r="V178" s="84">
        <f t="shared" si="401"/>
        <v>0</v>
      </c>
      <c r="W178" s="84"/>
      <c r="X178" s="84"/>
      <c r="Y178" s="85">
        <f t="shared" si="402"/>
        <v>0</v>
      </c>
      <c r="Z178" s="84"/>
      <c r="AA178" s="82"/>
    </row>
    <row r="179" spans="1:27" s="40" customFormat="1" ht="39.950000000000003" hidden="1" customHeight="1" x14ac:dyDescent="0.25">
      <c r="A179" s="49">
        <v>11</v>
      </c>
      <c r="B179" s="50" t="s">
        <v>43</v>
      </c>
      <c r="C179" s="56" t="str">
        <f t="shared" si="393"/>
        <v>HDKOTE/1714</v>
      </c>
      <c r="D179" s="51" t="s">
        <v>155</v>
      </c>
      <c r="E179" s="55" t="str">
        <f t="shared" ref="E179:F179" si="407">E178</f>
        <v>HKL351</v>
      </c>
      <c r="F179" s="50">
        <f t="shared" si="407"/>
        <v>0.72</v>
      </c>
      <c r="G179" s="49" t="s">
        <v>221</v>
      </c>
      <c r="H179" s="64" t="s">
        <v>222</v>
      </c>
      <c r="I179" s="49">
        <f t="shared" ref="I179:J179" si="408">I178</f>
        <v>3</v>
      </c>
      <c r="J179" s="49" t="str">
        <f t="shared" si="408"/>
        <v>LT 3</v>
      </c>
      <c r="K179" s="84">
        <f>'HKL351'!Q18</f>
        <v>4389</v>
      </c>
      <c r="L179" s="84">
        <f>'HKL351'!P18</f>
        <v>4718.8</v>
      </c>
      <c r="M179" s="84">
        <f>'[1]April-18'!M21</f>
        <v>1</v>
      </c>
      <c r="N179" s="84">
        <f t="shared" si="399"/>
        <v>329.80000000000018</v>
      </c>
      <c r="O179" s="84">
        <f>'HKL351'!F18</f>
        <v>1694</v>
      </c>
      <c r="P179" s="84">
        <f>'HKL351'!E18</f>
        <v>1814.7</v>
      </c>
      <c r="Q179" s="84">
        <f t="shared" si="396"/>
        <v>1</v>
      </c>
      <c r="R179" s="84">
        <f t="shared" si="400"/>
        <v>120.70000000000005</v>
      </c>
      <c r="S179" s="84">
        <f>'HKL351'!K18</f>
        <v>1106.8</v>
      </c>
      <c r="T179" s="84">
        <f>'HKL351'!J18</f>
        <v>1317.7</v>
      </c>
      <c r="U179" s="84">
        <f>'[1]April-18'!U21</f>
        <v>1</v>
      </c>
      <c r="V179" s="84">
        <f t="shared" si="401"/>
        <v>210.90000000000009</v>
      </c>
      <c r="W179" s="84"/>
      <c r="X179" s="84"/>
      <c r="Y179" s="85">
        <f t="shared" si="402"/>
        <v>3.6644444444444466</v>
      </c>
      <c r="Z179" s="84"/>
      <c r="AA179" s="82" t="s">
        <v>259</v>
      </c>
    </row>
    <row r="180" spans="1:27" s="40" customFormat="1" ht="39.950000000000003" hidden="1" customHeight="1" x14ac:dyDescent="0.25">
      <c r="A180" s="49">
        <v>12</v>
      </c>
      <c r="B180" s="50" t="s">
        <v>43</v>
      </c>
      <c r="C180" s="56" t="str">
        <f t="shared" si="393"/>
        <v>HDKOTE/1714</v>
      </c>
      <c r="D180" s="51" t="s">
        <v>155</v>
      </c>
      <c r="E180" s="55" t="str">
        <f t="shared" ref="E180:F180" si="409">E179</f>
        <v>HKL351</v>
      </c>
      <c r="F180" s="50">
        <f t="shared" si="409"/>
        <v>0.72</v>
      </c>
      <c r="G180" s="49" t="s">
        <v>221</v>
      </c>
      <c r="H180" s="64" t="s">
        <v>222</v>
      </c>
      <c r="I180" s="49">
        <f t="shared" ref="I180:J180" si="410">I179</f>
        <v>3</v>
      </c>
      <c r="J180" s="49" t="str">
        <f t="shared" si="410"/>
        <v>LT 3</v>
      </c>
      <c r="K180" s="84">
        <f>'HKL351'!Q19</f>
        <v>4718.8</v>
      </c>
      <c r="L180" s="84">
        <f>'HKL351'!P19</f>
        <v>4995.6000000000004</v>
      </c>
      <c r="M180" s="84">
        <f>'[1]April-18'!M22</f>
        <v>1</v>
      </c>
      <c r="N180" s="84">
        <f t="shared" si="399"/>
        <v>276.80000000000018</v>
      </c>
      <c r="O180" s="84">
        <f>'HKL351'!F19</f>
        <v>1814.7</v>
      </c>
      <c r="P180" s="84">
        <f>'HKL351'!E19</f>
        <v>1942.4</v>
      </c>
      <c r="Q180" s="84">
        <f t="shared" si="396"/>
        <v>1</v>
      </c>
      <c r="R180" s="84">
        <f t="shared" si="400"/>
        <v>127.70000000000005</v>
      </c>
      <c r="S180" s="84">
        <f>'HKL351'!K19</f>
        <v>1317.7</v>
      </c>
      <c r="T180" s="84">
        <f>'HKL351'!J19</f>
        <v>1464.6</v>
      </c>
      <c r="U180" s="84">
        <f>'[1]April-18'!U22</f>
        <v>1</v>
      </c>
      <c r="V180" s="84">
        <f t="shared" si="401"/>
        <v>146.89999999999986</v>
      </c>
      <c r="W180" s="84"/>
      <c r="X180" s="84"/>
      <c r="Y180" s="85">
        <f t="shared" si="402"/>
        <v>3.0755555555555572</v>
      </c>
      <c r="Z180" s="84"/>
      <c r="AA180" s="82" t="s">
        <v>263</v>
      </c>
    </row>
    <row r="181" spans="1:27" s="40" customFormat="1" ht="39.950000000000003" hidden="1" customHeight="1" x14ac:dyDescent="0.25">
      <c r="A181" s="49">
        <v>13</v>
      </c>
      <c r="B181" s="50" t="s">
        <v>43</v>
      </c>
      <c r="C181" s="56" t="str">
        <f t="shared" si="393"/>
        <v>HDKOTE/1714</v>
      </c>
      <c r="D181" s="51" t="s">
        <v>155</v>
      </c>
      <c r="E181" s="55" t="str">
        <f t="shared" ref="E181:F181" si="411">E180</f>
        <v>HKL351</v>
      </c>
      <c r="F181" s="50">
        <f t="shared" si="411"/>
        <v>0.72</v>
      </c>
      <c r="G181" s="49" t="s">
        <v>221</v>
      </c>
      <c r="H181" s="64" t="s">
        <v>222</v>
      </c>
      <c r="I181" s="49">
        <f t="shared" ref="I181:J181" si="412">I180</f>
        <v>3</v>
      </c>
      <c r="J181" s="49" t="str">
        <f t="shared" si="412"/>
        <v>LT 3</v>
      </c>
      <c r="K181" s="84">
        <f>'HKL351'!Q20</f>
        <v>4995.6000000000004</v>
      </c>
      <c r="L181" s="84">
        <f>'HKL351'!P20</f>
        <v>5189.3</v>
      </c>
      <c r="M181" s="84">
        <f>'[1]April-18'!M23</f>
        <v>1</v>
      </c>
      <c r="N181" s="84">
        <f t="shared" si="399"/>
        <v>193.69999999999982</v>
      </c>
      <c r="O181" s="84">
        <f>'HKL351'!F20</f>
        <v>1942.4</v>
      </c>
      <c r="P181" s="84">
        <f>'HKL351'!E20</f>
        <v>2086.8000000000002</v>
      </c>
      <c r="Q181" s="84">
        <f t="shared" si="396"/>
        <v>1</v>
      </c>
      <c r="R181" s="84">
        <f t="shared" si="400"/>
        <v>144.40000000000009</v>
      </c>
      <c r="S181" s="84">
        <f>'HKL351'!K20</f>
        <v>1464.6</v>
      </c>
      <c r="T181" s="84">
        <f>'HKL351'!J20</f>
        <v>1582</v>
      </c>
      <c r="U181" s="84">
        <f>'[1]April-18'!U23</f>
        <v>1</v>
      </c>
      <c r="V181" s="84">
        <f t="shared" si="401"/>
        <v>117.40000000000009</v>
      </c>
      <c r="W181" s="84"/>
      <c r="X181" s="84"/>
      <c r="Y181" s="85">
        <f t="shared" si="402"/>
        <v>2.1522222222222203</v>
      </c>
      <c r="Z181" s="84"/>
      <c r="AA181" s="82" t="s">
        <v>265</v>
      </c>
    </row>
    <row r="182" spans="1:27" s="40" customFormat="1" ht="39.950000000000003" hidden="1" customHeight="1" x14ac:dyDescent="0.25">
      <c r="A182" s="49">
        <v>14</v>
      </c>
      <c r="B182" s="50" t="s">
        <v>43</v>
      </c>
      <c r="C182" s="56" t="str">
        <f t="shared" si="393"/>
        <v>HDKOTE/1714</v>
      </c>
      <c r="D182" s="51" t="s">
        <v>155</v>
      </c>
      <c r="E182" s="55" t="str">
        <f t="shared" ref="E182:F182" si="413">E181</f>
        <v>HKL351</v>
      </c>
      <c r="F182" s="50">
        <f t="shared" si="413"/>
        <v>0.72</v>
      </c>
      <c r="G182" s="49" t="s">
        <v>221</v>
      </c>
      <c r="H182" s="64" t="s">
        <v>222</v>
      </c>
      <c r="I182" s="49">
        <f t="shared" ref="I182:J182" si="414">I181</f>
        <v>3</v>
      </c>
      <c r="J182" s="49" t="str">
        <f t="shared" si="414"/>
        <v>LT 3</v>
      </c>
      <c r="K182" s="84">
        <f>'HKL351'!Q21</f>
        <v>5189.3</v>
      </c>
      <c r="L182" s="84">
        <f>'HKL351'!P21</f>
        <v>5402.3</v>
      </c>
      <c r="M182" s="84">
        <f>'[1]April-18'!M24</f>
        <v>1</v>
      </c>
      <c r="N182" s="84">
        <f t="shared" si="399"/>
        <v>213</v>
      </c>
      <c r="O182" s="84">
        <f>'HKL351'!F21</f>
        <v>2086.8000000000002</v>
      </c>
      <c r="P182" s="84">
        <f>'HKL351'!E21</f>
        <v>2238.6999999999998</v>
      </c>
      <c r="Q182" s="84">
        <f t="shared" si="396"/>
        <v>1</v>
      </c>
      <c r="R182" s="84">
        <f t="shared" si="400"/>
        <v>151.89999999999964</v>
      </c>
      <c r="S182" s="84">
        <f>'HKL351'!K21</f>
        <v>1582</v>
      </c>
      <c r="T182" s="84">
        <f>'HKL351'!J21</f>
        <v>1658</v>
      </c>
      <c r="U182" s="84">
        <f>'[1]April-18'!U24</f>
        <v>1</v>
      </c>
      <c r="V182" s="84">
        <f t="shared" si="401"/>
        <v>76</v>
      </c>
      <c r="W182" s="84"/>
      <c r="X182" s="84"/>
      <c r="Y182" s="85">
        <f t="shared" si="402"/>
        <v>2.3666666666666667</v>
      </c>
      <c r="Z182" s="84"/>
      <c r="AA182" s="82"/>
    </row>
    <row r="183" spans="1:27" s="40" customFormat="1" ht="39.950000000000003" hidden="1" customHeight="1" x14ac:dyDescent="0.25">
      <c r="A183" s="49">
        <v>15</v>
      </c>
      <c r="B183" s="50" t="s">
        <v>43</v>
      </c>
      <c r="C183" s="56" t="str">
        <f t="shared" si="393"/>
        <v>HDKOTE/1714</v>
      </c>
      <c r="D183" s="51" t="s">
        <v>155</v>
      </c>
      <c r="E183" s="55" t="str">
        <f t="shared" ref="E183:F183" si="415">E182</f>
        <v>HKL351</v>
      </c>
      <c r="F183" s="50">
        <f t="shared" si="415"/>
        <v>0.72</v>
      </c>
      <c r="G183" s="49" t="s">
        <v>221</v>
      </c>
      <c r="H183" s="64" t="s">
        <v>222</v>
      </c>
      <c r="I183" s="49">
        <f t="shared" ref="I183:J183" si="416">I182</f>
        <v>3</v>
      </c>
      <c r="J183" s="49" t="str">
        <f t="shared" si="416"/>
        <v>LT 3</v>
      </c>
      <c r="K183" s="84">
        <f>'HKL351'!Q22</f>
        <v>5402.3</v>
      </c>
      <c r="L183" s="84">
        <f>'HKL351'!P22</f>
        <v>5566.4</v>
      </c>
      <c r="M183" s="84">
        <f>'[1]April-18'!M25</f>
        <v>1</v>
      </c>
      <c r="N183" s="84">
        <f t="shared" ref="N183:N191" si="417">(L183-K183)*M183</f>
        <v>164.09999999999945</v>
      </c>
      <c r="O183" s="84">
        <f>'HKL351'!F22</f>
        <v>2238.6999999999998</v>
      </c>
      <c r="P183" s="84">
        <f>'HKL351'!E22</f>
        <v>2456.6</v>
      </c>
      <c r="Q183" s="84">
        <f t="shared" si="396"/>
        <v>1</v>
      </c>
      <c r="R183" s="84">
        <f t="shared" ref="R183:R191" si="418">(P183-O183)*Q183</f>
        <v>217.90000000000009</v>
      </c>
      <c r="S183" s="84">
        <f>'HKL351'!K22</f>
        <v>1658</v>
      </c>
      <c r="T183" s="84">
        <f>'HKL351'!J22</f>
        <v>1721.6</v>
      </c>
      <c r="U183" s="84">
        <f>'[1]April-18'!U25</f>
        <v>1</v>
      </c>
      <c r="V183" s="84">
        <f t="shared" ref="V183:V191" si="419">(T183-S183)*U183</f>
        <v>63.599999999999909</v>
      </c>
      <c r="W183" s="84"/>
      <c r="X183" s="84"/>
      <c r="Y183" s="85">
        <f t="shared" ref="Y183:Y191" si="420">N183/30/I183</f>
        <v>1.8233333333333273</v>
      </c>
      <c r="Z183" s="84"/>
      <c r="AA183" s="82"/>
    </row>
    <row r="184" spans="1:27" s="40" customFormat="1" ht="39.950000000000003" hidden="1" customHeight="1" x14ac:dyDescent="0.25">
      <c r="A184" s="49">
        <v>16</v>
      </c>
      <c r="B184" s="50" t="s">
        <v>43</v>
      </c>
      <c r="C184" s="56" t="str">
        <f t="shared" si="393"/>
        <v>HDKOTE/1714</v>
      </c>
      <c r="D184" s="51" t="s">
        <v>155</v>
      </c>
      <c r="E184" s="55" t="str">
        <f t="shared" ref="E184:F184" si="421">E183</f>
        <v>HKL351</v>
      </c>
      <c r="F184" s="50">
        <f t="shared" si="421"/>
        <v>0.72</v>
      </c>
      <c r="G184" s="49" t="s">
        <v>221</v>
      </c>
      <c r="H184" s="64" t="s">
        <v>222</v>
      </c>
      <c r="I184" s="49">
        <f t="shared" ref="I184:J184" si="422">I183</f>
        <v>3</v>
      </c>
      <c r="J184" s="49" t="str">
        <f t="shared" si="422"/>
        <v>LT 3</v>
      </c>
      <c r="K184" s="84">
        <f>'HKL351'!Q23</f>
        <v>5566.4</v>
      </c>
      <c r="L184" s="84">
        <f>'HKL351'!P23</f>
        <v>5706.1</v>
      </c>
      <c r="M184" s="84">
        <f>M183</f>
        <v>1</v>
      </c>
      <c r="N184" s="84">
        <f t="shared" si="417"/>
        <v>139.70000000000073</v>
      </c>
      <c r="O184" s="84">
        <f>'HKL351'!F23</f>
        <v>2456.6</v>
      </c>
      <c r="P184" s="84">
        <f>'HKL351'!E23</f>
        <v>2621.6</v>
      </c>
      <c r="Q184" s="84">
        <f t="shared" si="396"/>
        <v>1</v>
      </c>
      <c r="R184" s="84">
        <f t="shared" si="418"/>
        <v>165</v>
      </c>
      <c r="S184" s="84">
        <f>'HKL351'!K23</f>
        <v>1721.6</v>
      </c>
      <c r="T184" s="84">
        <f>'HKL351'!J23</f>
        <v>1769.9</v>
      </c>
      <c r="U184" s="84">
        <f>U183</f>
        <v>1</v>
      </c>
      <c r="V184" s="84">
        <f t="shared" si="419"/>
        <v>48.300000000000182</v>
      </c>
      <c r="W184" s="84"/>
      <c r="X184" s="84"/>
      <c r="Y184" s="85">
        <f t="shared" si="420"/>
        <v>1.5522222222222304</v>
      </c>
      <c r="Z184" s="84"/>
      <c r="AA184" s="82"/>
    </row>
    <row r="185" spans="1:27" s="40" customFormat="1" ht="39.950000000000003" hidden="1" customHeight="1" x14ac:dyDescent="0.25">
      <c r="A185" s="93">
        <v>17</v>
      </c>
      <c r="B185" s="50" t="s">
        <v>43</v>
      </c>
      <c r="C185" s="56" t="str">
        <f t="shared" si="393"/>
        <v>HDKOTE/1714</v>
      </c>
      <c r="D185" s="51" t="s">
        <v>155</v>
      </c>
      <c r="E185" s="55" t="str">
        <f t="shared" ref="E185:F185" si="423">E184</f>
        <v>HKL351</v>
      </c>
      <c r="F185" s="50">
        <f t="shared" si="423"/>
        <v>0.72</v>
      </c>
      <c r="G185" s="49" t="s">
        <v>221</v>
      </c>
      <c r="H185" s="64" t="s">
        <v>222</v>
      </c>
      <c r="I185" s="49">
        <f t="shared" ref="I185:J185" si="424">I184</f>
        <v>3</v>
      </c>
      <c r="J185" s="49" t="str">
        <f t="shared" si="424"/>
        <v>LT 3</v>
      </c>
      <c r="K185" s="84">
        <f>'HKL351'!Q24</f>
        <v>5706.1</v>
      </c>
      <c r="L185" s="84">
        <f>'HKL351'!P24</f>
        <v>5846.7</v>
      </c>
      <c r="M185" s="84">
        <f>M184</f>
        <v>1</v>
      </c>
      <c r="N185" s="84">
        <f t="shared" si="417"/>
        <v>140.59999999999945</v>
      </c>
      <c r="O185" s="84">
        <f>'HKL351'!F24</f>
        <v>2621.6</v>
      </c>
      <c r="P185" s="84">
        <f>'HKL351'!E24</f>
        <v>2783.1</v>
      </c>
      <c r="Q185" s="84">
        <f t="shared" si="396"/>
        <v>1</v>
      </c>
      <c r="R185" s="84">
        <f t="shared" si="418"/>
        <v>161.5</v>
      </c>
      <c r="S185" s="84">
        <f>'HKL351'!K24</f>
        <v>1769.9</v>
      </c>
      <c r="T185" s="84">
        <f>'HKL351'!J24</f>
        <v>1817</v>
      </c>
      <c r="U185" s="84">
        <f>U184</f>
        <v>1</v>
      </c>
      <c r="V185" s="84">
        <f t="shared" si="419"/>
        <v>47.099999999999909</v>
      </c>
      <c r="W185" s="84"/>
      <c r="X185" s="84"/>
      <c r="Y185" s="85">
        <f t="shared" si="420"/>
        <v>1.5622222222222162</v>
      </c>
      <c r="Z185" s="84"/>
      <c r="AA185" s="82"/>
    </row>
    <row r="186" spans="1:27" s="40" customFormat="1" ht="39.950000000000003" hidden="1" customHeight="1" x14ac:dyDescent="0.25">
      <c r="A186" s="94">
        <v>18</v>
      </c>
      <c r="B186" s="50" t="s">
        <v>43</v>
      </c>
      <c r="C186" s="56" t="str">
        <f t="shared" si="393"/>
        <v>HDKOTE/1714</v>
      </c>
      <c r="D186" s="51" t="s">
        <v>155</v>
      </c>
      <c r="E186" s="55" t="str">
        <f t="shared" ref="E186:F186" si="425">E185</f>
        <v>HKL351</v>
      </c>
      <c r="F186" s="50">
        <f t="shared" si="425"/>
        <v>0.72</v>
      </c>
      <c r="G186" s="49" t="s">
        <v>221</v>
      </c>
      <c r="H186" s="64" t="s">
        <v>222</v>
      </c>
      <c r="I186" s="49">
        <f t="shared" ref="I186:J186" si="426">I185</f>
        <v>3</v>
      </c>
      <c r="J186" s="49" t="str">
        <f t="shared" si="426"/>
        <v>LT 3</v>
      </c>
      <c r="K186" s="84">
        <f>'HKL351'!Q25</f>
        <v>5846.7</v>
      </c>
      <c r="L186" s="84">
        <f>'HKL351'!P25</f>
        <v>5962.7</v>
      </c>
      <c r="M186" s="84">
        <f>M185</f>
        <v>1</v>
      </c>
      <c r="N186" s="84">
        <f t="shared" si="417"/>
        <v>116</v>
      </c>
      <c r="O186" s="84">
        <f>'HKL351'!F25</f>
        <v>2783.1</v>
      </c>
      <c r="P186" s="84">
        <f>'HKL351'!E25</f>
        <v>2969.2</v>
      </c>
      <c r="Q186" s="84">
        <f t="shared" si="396"/>
        <v>1</v>
      </c>
      <c r="R186" s="84">
        <f t="shared" si="418"/>
        <v>186.09999999999991</v>
      </c>
      <c r="S186" s="84">
        <f>'HKL351'!K25</f>
        <v>1817</v>
      </c>
      <c r="T186" s="84">
        <f>'HKL351'!J25</f>
        <v>1850</v>
      </c>
      <c r="U186" s="84">
        <f>U185</f>
        <v>1</v>
      </c>
      <c r="V186" s="84">
        <f t="shared" si="419"/>
        <v>33</v>
      </c>
      <c r="W186" s="84"/>
      <c r="X186" s="84"/>
      <c r="Y186" s="85">
        <f t="shared" si="420"/>
        <v>1.288888888888889</v>
      </c>
      <c r="Z186" s="84"/>
      <c r="AA186" s="82"/>
    </row>
    <row r="187" spans="1:27" s="40" customFormat="1" ht="39.950000000000003" hidden="1" customHeight="1" x14ac:dyDescent="0.25">
      <c r="A187" s="95">
        <v>19</v>
      </c>
      <c r="B187" s="50" t="s">
        <v>43</v>
      </c>
      <c r="C187" s="56" t="str">
        <f t="shared" si="393"/>
        <v>HDKOTE/1714</v>
      </c>
      <c r="D187" s="51" t="s">
        <v>155</v>
      </c>
      <c r="E187" s="55" t="str">
        <f t="shared" ref="E187:F187" si="427">E186</f>
        <v>HKL351</v>
      </c>
      <c r="F187" s="50">
        <f t="shared" si="427"/>
        <v>0.72</v>
      </c>
      <c r="G187" s="49" t="s">
        <v>221</v>
      </c>
      <c r="H187" s="64" t="s">
        <v>222</v>
      </c>
      <c r="I187" s="49">
        <f t="shared" ref="I187:J187" si="428">I186</f>
        <v>3</v>
      </c>
      <c r="J187" s="49" t="str">
        <f t="shared" si="428"/>
        <v>LT 3</v>
      </c>
      <c r="K187" s="84">
        <f>'HKL351'!Q26</f>
        <v>5962.7</v>
      </c>
      <c r="L187" s="84">
        <f>'HKL351'!P26</f>
        <v>6087.3</v>
      </c>
      <c r="M187" s="84">
        <f>M186</f>
        <v>1</v>
      </c>
      <c r="N187" s="84">
        <f t="shared" ref="N187" si="429">(L187-K187)*M187</f>
        <v>124.60000000000036</v>
      </c>
      <c r="O187" s="84">
        <f>'HKL351'!F26</f>
        <v>2969.2</v>
      </c>
      <c r="P187" s="84">
        <f>'HKL351'!E26</f>
        <v>3169</v>
      </c>
      <c r="Q187" s="84">
        <f t="shared" si="396"/>
        <v>1</v>
      </c>
      <c r="R187" s="84">
        <f t="shared" ref="R187" si="430">(P187-O187)*Q187</f>
        <v>199.80000000000018</v>
      </c>
      <c r="S187" s="84">
        <f>'HKL351'!K26</f>
        <v>1850</v>
      </c>
      <c r="T187" s="84">
        <f>'HKL351'!J26</f>
        <v>1888.2</v>
      </c>
      <c r="U187" s="84">
        <f>U186</f>
        <v>1</v>
      </c>
      <c r="V187" s="84">
        <f t="shared" ref="V187" si="431">(T187-S187)*U187</f>
        <v>38.200000000000045</v>
      </c>
      <c r="W187" s="84"/>
      <c r="X187" s="84"/>
      <c r="Y187" s="85">
        <f t="shared" ref="Y187" si="432">N187/30/I187</f>
        <v>1.3844444444444486</v>
      </c>
      <c r="Z187" s="84"/>
      <c r="AA187" s="82"/>
    </row>
    <row r="188" spans="1:27" s="40" customFormat="1" ht="39.950000000000003" hidden="1" customHeight="1" x14ac:dyDescent="0.25">
      <c r="A188" s="49">
        <v>20</v>
      </c>
      <c r="B188" s="50" t="s">
        <v>43</v>
      </c>
      <c r="C188" s="56" t="str">
        <f t="shared" si="393"/>
        <v>HDKOTE/1714</v>
      </c>
      <c r="D188" s="51" t="s">
        <v>155</v>
      </c>
      <c r="E188" s="55" t="str">
        <f t="shared" ref="E188:F193" si="433">E187</f>
        <v>HKL351</v>
      </c>
      <c r="F188" s="50">
        <f t="shared" si="433"/>
        <v>0.72</v>
      </c>
      <c r="G188" s="49" t="s">
        <v>221</v>
      </c>
      <c r="H188" s="64" t="s">
        <v>222</v>
      </c>
      <c r="I188" s="49">
        <f t="shared" ref="I188:J193" si="434">I187</f>
        <v>3</v>
      </c>
      <c r="J188" s="49" t="str">
        <f t="shared" si="434"/>
        <v>LT 3</v>
      </c>
      <c r="K188" s="84">
        <f>'HKL351'!Q27</f>
        <v>6087.3</v>
      </c>
      <c r="L188" s="84">
        <f>'HKL351'!P27</f>
        <v>6231.6</v>
      </c>
      <c r="M188" s="84">
        <f>M187</f>
        <v>1</v>
      </c>
      <c r="N188" s="84">
        <f t="shared" ref="N188" si="435">(L188-K188)*M188</f>
        <v>144.30000000000018</v>
      </c>
      <c r="O188" s="84">
        <f>'HKL351'!F27</f>
        <v>3169</v>
      </c>
      <c r="P188" s="84">
        <f>'HKL351'!E27</f>
        <v>3398.5</v>
      </c>
      <c r="Q188" s="84">
        <f t="shared" si="396"/>
        <v>1</v>
      </c>
      <c r="R188" s="84">
        <f t="shared" ref="R188" si="436">(P188-O188)*Q188</f>
        <v>229.5</v>
      </c>
      <c r="S188" s="84">
        <f>'HKL351'!K27</f>
        <v>1888.2</v>
      </c>
      <c r="T188" s="84">
        <f>'HKL351'!J27</f>
        <v>1931.9</v>
      </c>
      <c r="U188" s="84">
        <f>U187</f>
        <v>1</v>
      </c>
      <c r="V188" s="84">
        <f t="shared" ref="V188" si="437">(T188-S188)*U188</f>
        <v>43.700000000000045</v>
      </c>
      <c r="W188" s="84"/>
      <c r="X188" s="84"/>
      <c r="Y188" s="85">
        <f t="shared" ref="Y188" si="438">N188/30/I188</f>
        <v>1.6033333333333353</v>
      </c>
      <c r="Z188" s="84"/>
      <c r="AA188" s="82"/>
    </row>
    <row r="189" spans="1:27" s="40" customFormat="1" ht="39.950000000000003" hidden="1" customHeight="1" x14ac:dyDescent="0.25">
      <c r="A189" s="49">
        <v>21</v>
      </c>
      <c r="B189" s="50" t="s">
        <v>43</v>
      </c>
      <c r="C189" s="56" t="str">
        <f t="shared" si="393"/>
        <v>HDKOTE/1714</v>
      </c>
      <c r="D189" s="51" t="s">
        <v>155</v>
      </c>
      <c r="E189" s="55" t="str">
        <f t="shared" ref="E189:F189" si="439">E188</f>
        <v>HKL351</v>
      </c>
      <c r="F189" s="50">
        <f t="shared" si="439"/>
        <v>0.72</v>
      </c>
      <c r="G189" s="49" t="s">
        <v>221</v>
      </c>
      <c r="H189" s="64" t="s">
        <v>222</v>
      </c>
      <c r="I189" s="49">
        <f t="shared" ref="I189:J189" si="440">I188</f>
        <v>3</v>
      </c>
      <c r="J189" s="49" t="str">
        <f t="shared" si="440"/>
        <v>LT 3</v>
      </c>
      <c r="K189" s="84">
        <f>'HKL351'!Q28</f>
        <v>6231.6</v>
      </c>
      <c r="L189" s="84">
        <f>'HKL351'!P28</f>
        <v>6432.5</v>
      </c>
      <c r="M189" s="84">
        <f>'[1]April-18'!M31</f>
        <v>1</v>
      </c>
      <c r="N189" s="84">
        <f t="shared" si="417"/>
        <v>200.89999999999964</v>
      </c>
      <c r="O189" s="84">
        <f>'HKL351'!F28</f>
        <v>3398.5</v>
      </c>
      <c r="P189" s="84">
        <f>'HKL351'!E28</f>
        <v>3601.3</v>
      </c>
      <c r="Q189" s="84">
        <f t="shared" si="396"/>
        <v>1</v>
      </c>
      <c r="R189" s="84">
        <f t="shared" si="418"/>
        <v>202.80000000000018</v>
      </c>
      <c r="S189" s="84">
        <f>'HKL351'!K28</f>
        <v>1931.9</v>
      </c>
      <c r="T189" s="84">
        <f>'HKL351'!J28</f>
        <v>2011.3</v>
      </c>
      <c r="U189" s="84">
        <f>'[1]April-18'!U31</f>
        <v>1</v>
      </c>
      <c r="V189" s="84">
        <f t="shared" si="419"/>
        <v>79.399999999999864</v>
      </c>
      <c r="W189" s="84"/>
      <c r="X189" s="84"/>
      <c r="Y189" s="85">
        <f t="shared" si="420"/>
        <v>2.2322222222222181</v>
      </c>
      <c r="Z189" s="84"/>
      <c r="AA189" s="82"/>
    </row>
    <row r="190" spans="1:27" s="40" customFormat="1" ht="39.950000000000003" hidden="1" customHeight="1" x14ac:dyDescent="0.25">
      <c r="A190" s="49">
        <v>22</v>
      </c>
      <c r="B190" s="50" t="s">
        <v>43</v>
      </c>
      <c r="C190" s="56" t="str">
        <f t="shared" si="393"/>
        <v>HDKOTE/1714</v>
      </c>
      <c r="D190" s="51" t="s">
        <v>155</v>
      </c>
      <c r="E190" s="55" t="str">
        <f t="shared" si="433"/>
        <v>HKL351</v>
      </c>
      <c r="F190" s="50">
        <f t="shared" si="433"/>
        <v>0.72</v>
      </c>
      <c r="G190" s="49" t="s">
        <v>221</v>
      </c>
      <c r="H190" s="64" t="s">
        <v>222</v>
      </c>
      <c r="I190" s="49">
        <f t="shared" si="434"/>
        <v>3</v>
      </c>
      <c r="J190" s="49" t="str">
        <f t="shared" si="434"/>
        <v>LT 3</v>
      </c>
      <c r="K190" s="84">
        <f>'HKL351'!Q29</f>
        <v>6432.5</v>
      </c>
      <c r="L190" s="84">
        <f>'HKL351'!P29</f>
        <v>6613.9</v>
      </c>
      <c r="M190" s="84">
        <f>M189</f>
        <v>1</v>
      </c>
      <c r="N190" s="84">
        <f t="shared" si="417"/>
        <v>181.39999999999964</v>
      </c>
      <c r="O190" s="84">
        <f>'HKL351'!F29</f>
        <v>3601.3</v>
      </c>
      <c r="P190" s="84">
        <f>'HKL351'!E29</f>
        <v>3815.8</v>
      </c>
      <c r="Q190" s="84">
        <f t="shared" si="396"/>
        <v>1</v>
      </c>
      <c r="R190" s="84">
        <f t="shared" si="418"/>
        <v>214.5</v>
      </c>
      <c r="S190" s="84">
        <f>'HKL351'!K29</f>
        <v>2011.3</v>
      </c>
      <c r="T190" s="84">
        <f>'HKL351'!J29</f>
        <v>2083.8000000000002</v>
      </c>
      <c r="U190" s="84">
        <f>U189</f>
        <v>1</v>
      </c>
      <c r="V190" s="84">
        <f t="shared" si="419"/>
        <v>72.500000000000227</v>
      </c>
      <c r="W190" s="84"/>
      <c r="X190" s="84"/>
      <c r="Y190" s="85">
        <f t="shared" si="420"/>
        <v>2.0155555555555513</v>
      </c>
      <c r="Z190" s="84"/>
      <c r="AA190" s="82"/>
    </row>
    <row r="191" spans="1:27" s="40" customFormat="1" ht="39.950000000000003" hidden="1" customHeight="1" x14ac:dyDescent="0.25">
      <c r="A191" s="49">
        <v>23</v>
      </c>
      <c r="B191" s="50" t="s">
        <v>43</v>
      </c>
      <c r="C191" s="56" t="str">
        <f t="shared" si="393"/>
        <v>HDKOTE/1714</v>
      </c>
      <c r="D191" s="51" t="s">
        <v>155</v>
      </c>
      <c r="E191" s="55" t="str">
        <f t="shared" si="433"/>
        <v>HKL351</v>
      </c>
      <c r="F191" s="50">
        <f t="shared" si="433"/>
        <v>0.72</v>
      </c>
      <c r="G191" s="49" t="s">
        <v>221</v>
      </c>
      <c r="H191" s="64" t="s">
        <v>222</v>
      </c>
      <c r="I191" s="49">
        <f t="shared" si="434"/>
        <v>3</v>
      </c>
      <c r="J191" s="49" t="str">
        <f t="shared" si="434"/>
        <v>LT 3</v>
      </c>
      <c r="K191" s="84">
        <f>'HKL351'!Q31</f>
        <v>6613.9</v>
      </c>
      <c r="L191" s="84">
        <f>'HKL351'!P31</f>
        <v>6675</v>
      </c>
      <c r="M191" s="84">
        <f>M190</f>
        <v>1</v>
      </c>
      <c r="N191" s="84">
        <f t="shared" si="417"/>
        <v>61.100000000000364</v>
      </c>
      <c r="O191" s="84">
        <f>'HKL351'!F31</f>
        <v>3815.8</v>
      </c>
      <c r="P191" s="84">
        <f>'HKL351'!E31</f>
        <v>4025.8</v>
      </c>
      <c r="Q191" s="84">
        <f t="shared" si="396"/>
        <v>1</v>
      </c>
      <c r="R191" s="84">
        <f t="shared" si="418"/>
        <v>210</v>
      </c>
      <c r="S191" s="84">
        <f>'HKL351'!K31</f>
        <v>2083.8000000000002</v>
      </c>
      <c r="T191" s="84">
        <f>'HKL351'!J31</f>
        <v>2110</v>
      </c>
      <c r="U191" s="84">
        <f>U190</f>
        <v>1</v>
      </c>
      <c r="V191" s="84">
        <f t="shared" si="419"/>
        <v>26.199999999999818</v>
      </c>
      <c r="W191" s="84"/>
      <c r="X191" s="84"/>
      <c r="Y191" s="85">
        <f t="shared" si="420"/>
        <v>0.67888888888889287</v>
      </c>
      <c r="Z191" s="84"/>
      <c r="AA191" s="82"/>
    </row>
    <row r="192" spans="1:27" s="40" customFormat="1" ht="39.950000000000003" hidden="1" customHeight="1" x14ac:dyDescent="0.25">
      <c r="A192" s="49">
        <v>24</v>
      </c>
      <c r="B192" s="50" t="s">
        <v>43</v>
      </c>
      <c r="C192" s="56" t="str">
        <f t="shared" si="393"/>
        <v>HDKOTE/1714</v>
      </c>
      <c r="D192" s="51" t="s">
        <v>155</v>
      </c>
      <c r="E192" s="55" t="str">
        <f t="shared" si="433"/>
        <v>HKL351</v>
      </c>
      <c r="F192" s="50">
        <f t="shared" si="433"/>
        <v>0.72</v>
      </c>
      <c r="G192" s="49" t="s">
        <v>221</v>
      </c>
      <c r="H192" s="64" t="s">
        <v>222</v>
      </c>
      <c r="I192" s="49">
        <f t="shared" si="434"/>
        <v>3</v>
      </c>
      <c r="J192" s="49" t="str">
        <f t="shared" si="434"/>
        <v>LT 3</v>
      </c>
      <c r="K192" s="84">
        <f>'HKL351'!Q32</f>
        <v>6675</v>
      </c>
      <c r="L192" s="84">
        <f>'HKL351'!P32</f>
        <v>6703.3</v>
      </c>
      <c r="M192" s="84">
        <f>M191</f>
        <v>1</v>
      </c>
      <c r="N192" s="84">
        <f t="shared" ref="N192:N195" si="441">(L192-K192)*M192</f>
        <v>28.300000000000182</v>
      </c>
      <c r="O192" s="84">
        <f>'HKL351'!F32</f>
        <v>4025.8</v>
      </c>
      <c r="P192" s="84">
        <f>'HKL351'!E32</f>
        <v>4290.3</v>
      </c>
      <c r="Q192" s="84">
        <f t="shared" si="396"/>
        <v>1</v>
      </c>
      <c r="R192" s="84">
        <f t="shared" ref="R192:R195" si="442">(P192-O192)*Q192</f>
        <v>264.5</v>
      </c>
      <c r="S192" s="84">
        <f>'HKL351'!K32</f>
        <v>2110</v>
      </c>
      <c r="T192" s="84">
        <f>'HKL351'!J32</f>
        <v>2114.6</v>
      </c>
      <c r="U192" s="84">
        <f>U191</f>
        <v>1</v>
      </c>
      <c r="V192" s="84">
        <f t="shared" ref="V192:V195" si="443">(T192-S192)*U192</f>
        <v>4.5999999999999091</v>
      </c>
      <c r="W192" s="84"/>
      <c r="X192" s="84"/>
      <c r="Y192" s="85">
        <f t="shared" ref="Y192:Y195" si="444">N192/30/I192</f>
        <v>0.31444444444444647</v>
      </c>
      <c r="Z192" s="84"/>
      <c r="AA192" s="82"/>
    </row>
    <row r="193" spans="1:27" s="40" customFormat="1" ht="39.950000000000003" hidden="1" customHeight="1" x14ac:dyDescent="0.25">
      <c r="A193" s="49">
        <v>25</v>
      </c>
      <c r="B193" s="50" t="s">
        <v>43</v>
      </c>
      <c r="C193" s="56" t="str">
        <f t="shared" si="393"/>
        <v>HDKOTE/1714</v>
      </c>
      <c r="D193" s="51" t="s">
        <v>155</v>
      </c>
      <c r="E193" s="55" t="str">
        <f t="shared" si="433"/>
        <v>HKL351</v>
      </c>
      <c r="F193" s="50">
        <f t="shared" si="433"/>
        <v>0.72</v>
      </c>
      <c r="G193" s="49" t="s">
        <v>221</v>
      </c>
      <c r="H193" s="64" t="s">
        <v>222</v>
      </c>
      <c r="I193" s="49">
        <f t="shared" si="434"/>
        <v>3</v>
      </c>
      <c r="J193" s="49" t="str">
        <f t="shared" si="434"/>
        <v>LT 3</v>
      </c>
      <c r="K193" s="84">
        <f>'HKL351'!Q33</f>
        <v>6703.3</v>
      </c>
      <c r="L193" s="84">
        <f>'HKL351'!P33</f>
        <v>6703.3</v>
      </c>
      <c r="M193" s="84">
        <f>M192</f>
        <v>1</v>
      </c>
      <c r="N193" s="84">
        <f t="shared" si="441"/>
        <v>0</v>
      </c>
      <c r="O193" s="84">
        <f>'HKL351'!F33</f>
        <v>4290.3</v>
      </c>
      <c r="P193" s="84">
        <f>'HKL351'!E33</f>
        <v>4503.3999999999996</v>
      </c>
      <c r="Q193" s="84">
        <f t="shared" si="396"/>
        <v>1</v>
      </c>
      <c r="R193" s="84">
        <f t="shared" si="442"/>
        <v>213.09999999999945</v>
      </c>
      <c r="S193" s="84">
        <f>'HKL351'!K33</f>
        <v>2114.6</v>
      </c>
      <c r="T193" s="84">
        <f>'HKL351'!J33</f>
        <v>2114.6</v>
      </c>
      <c r="U193" s="84">
        <f>U192</f>
        <v>1</v>
      </c>
      <c r="V193" s="84">
        <f t="shared" si="443"/>
        <v>0</v>
      </c>
      <c r="W193" s="84"/>
      <c r="X193" s="84"/>
      <c r="Y193" s="85">
        <f t="shared" si="444"/>
        <v>0</v>
      </c>
      <c r="Z193" s="84"/>
      <c r="AA193" s="82"/>
    </row>
    <row r="194" spans="1:27" s="40" customFormat="1" ht="39.950000000000003" hidden="1" customHeight="1" x14ac:dyDescent="0.25">
      <c r="A194" s="49">
        <v>26</v>
      </c>
      <c r="B194" s="50" t="s">
        <v>43</v>
      </c>
      <c r="C194" s="56" t="str">
        <f t="shared" si="393"/>
        <v>HDKOTE/1714</v>
      </c>
      <c r="D194" s="51" t="s">
        <v>155</v>
      </c>
      <c r="E194" s="55" t="str">
        <f t="shared" ref="E194:F194" si="445">E193</f>
        <v>HKL351</v>
      </c>
      <c r="F194" s="50">
        <f t="shared" si="445"/>
        <v>0.72</v>
      </c>
      <c r="G194" s="49" t="s">
        <v>221</v>
      </c>
      <c r="H194" s="64" t="s">
        <v>222</v>
      </c>
      <c r="I194" s="49">
        <f t="shared" ref="I194:J194" si="446">I193</f>
        <v>3</v>
      </c>
      <c r="J194" s="49" t="str">
        <f t="shared" si="446"/>
        <v>LT 3</v>
      </c>
      <c r="K194" s="84">
        <f>'HKL351'!Q34</f>
        <v>6703.3</v>
      </c>
      <c r="L194" s="84">
        <f>'HKL351'!P34</f>
        <v>6703.3</v>
      </c>
      <c r="M194" s="84">
        <f t="shared" ref="M194:M200" si="447">M193</f>
        <v>1</v>
      </c>
      <c r="N194" s="84">
        <f t="shared" si="441"/>
        <v>0</v>
      </c>
      <c r="O194" s="84">
        <f>'HKL351'!F34</f>
        <v>4503.3999999999996</v>
      </c>
      <c r="P194" s="84">
        <f>'HKL351'!E34</f>
        <v>4758.8999999999996</v>
      </c>
      <c r="Q194" s="84">
        <f t="shared" si="396"/>
        <v>1</v>
      </c>
      <c r="R194" s="84">
        <f t="shared" si="442"/>
        <v>255.5</v>
      </c>
      <c r="S194" s="84">
        <f>'HKL351'!K34</f>
        <v>2114.6</v>
      </c>
      <c r="T194" s="84">
        <f>'HKL351'!J34</f>
        <v>2114.6</v>
      </c>
      <c r="U194" s="84">
        <f t="shared" ref="U194:U200" si="448">U193</f>
        <v>1</v>
      </c>
      <c r="V194" s="84">
        <f t="shared" si="443"/>
        <v>0</v>
      </c>
      <c r="W194" s="84"/>
      <c r="X194" s="84"/>
      <c r="Y194" s="85">
        <f t="shared" si="444"/>
        <v>0</v>
      </c>
      <c r="Z194" s="84"/>
      <c r="AA194" s="82"/>
    </row>
    <row r="195" spans="1:27" s="40" customFormat="1" ht="39.950000000000003" hidden="1" customHeight="1" x14ac:dyDescent="0.25">
      <c r="A195" s="49">
        <v>27</v>
      </c>
      <c r="B195" s="50" t="s">
        <v>43</v>
      </c>
      <c r="C195" s="56" t="str">
        <f t="shared" si="393"/>
        <v>HDKOTE/1714</v>
      </c>
      <c r="D195" s="51" t="s">
        <v>155</v>
      </c>
      <c r="E195" s="55" t="str">
        <f t="shared" ref="E195:F195" si="449">E194</f>
        <v>HKL351</v>
      </c>
      <c r="F195" s="50">
        <f t="shared" si="449"/>
        <v>0.72</v>
      </c>
      <c r="G195" s="49" t="s">
        <v>221</v>
      </c>
      <c r="H195" s="64" t="s">
        <v>222</v>
      </c>
      <c r="I195" s="49">
        <f t="shared" ref="I195:J195" si="450">I194</f>
        <v>3</v>
      </c>
      <c r="J195" s="49" t="str">
        <f t="shared" si="450"/>
        <v>LT 3</v>
      </c>
      <c r="K195" s="84">
        <f>'HKL351'!Q35</f>
        <v>6703.3</v>
      </c>
      <c r="L195" s="84">
        <f>'HKL351'!P35</f>
        <v>6703.3</v>
      </c>
      <c r="M195" s="84">
        <f t="shared" si="447"/>
        <v>1</v>
      </c>
      <c r="N195" s="84">
        <f t="shared" si="441"/>
        <v>0</v>
      </c>
      <c r="O195" s="84">
        <f>'HKL351'!F35</f>
        <v>4758.8999999999996</v>
      </c>
      <c r="P195" s="84">
        <f>'HKL351'!E35</f>
        <v>5077.5</v>
      </c>
      <c r="Q195" s="84">
        <f t="shared" si="396"/>
        <v>1</v>
      </c>
      <c r="R195" s="84">
        <f t="shared" si="442"/>
        <v>318.60000000000036</v>
      </c>
      <c r="S195" s="84">
        <f>'HKL351'!K35</f>
        <v>2114.6</v>
      </c>
      <c r="T195" s="84">
        <f>'HKL351'!J35</f>
        <v>2114.6</v>
      </c>
      <c r="U195" s="84">
        <f t="shared" si="448"/>
        <v>1</v>
      </c>
      <c r="V195" s="84">
        <f t="shared" si="443"/>
        <v>0</v>
      </c>
      <c r="W195" s="84"/>
      <c r="X195" s="84"/>
      <c r="Y195" s="85">
        <f t="shared" si="444"/>
        <v>0</v>
      </c>
      <c r="Z195" s="84"/>
      <c r="AA195" s="82"/>
    </row>
    <row r="196" spans="1:27" s="40" customFormat="1" ht="39.950000000000003" hidden="1" customHeight="1" x14ac:dyDescent="0.25">
      <c r="A196" s="49">
        <v>28</v>
      </c>
      <c r="B196" s="50" t="s">
        <v>43</v>
      </c>
      <c r="C196" s="56" t="str">
        <f t="shared" si="393"/>
        <v>HDKOTE/1714</v>
      </c>
      <c r="D196" s="51" t="s">
        <v>155</v>
      </c>
      <c r="E196" s="55" t="str">
        <f t="shared" ref="E196:F198" si="451">E195</f>
        <v>HKL351</v>
      </c>
      <c r="F196" s="50">
        <f t="shared" si="451"/>
        <v>0.72</v>
      </c>
      <c r="G196" s="49" t="s">
        <v>221</v>
      </c>
      <c r="H196" s="64" t="s">
        <v>222</v>
      </c>
      <c r="I196" s="49">
        <f t="shared" ref="I196:J198" si="452">I195</f>
        <v>3</v>
      </c>
      <c r="J196" s="49" t="str">
        <f t="shared" si="452"/>
        <v>LT 3</v>
      </c>
      <c r="K196" s="84">
        <f>'HKL351'!Q36</f>
        <v>6703.3</v>
      </c>
      <c r="L196" s="84">
        <f>'HKL351'!P36</f>
        <v>6772.5</v>
      </c>
      <c r="M196" s="84">
        <f t="shared" si="447"/>
        <v>1</v>
      </c>
      <c r="N196" s="84">
        <f t="shared" ref="N196:N200" si="453">(L196-K196)*M196</f>
        <v>69.199999999999818</v>
      </c>
      <c r="O196" s="84">
        <f>'HKL351'!F36</f>
        <v>5077.5</v>
      </c>
      <c r="P196" s="84">
        <f>'HKL351'!E36</f>
        <v>5311.4</v>
      </c>
      <c r="Q196" s="84">
        <f t="shared" si="396"/>
        <v>1</v>
      </c>
      <c r="R196" s="84">
        <f t="shared" ref="R196:R200" si="454">(P196-O196)*Q196</f>
        <v>233.89999999999964</v>
      </c>
      <c r="S196" s="84">
        <f>'HKL351'!K36</f>
        <v>2114.6</v>
      </c>
      <c r="T196" s="84">
        <f>'HKL351'!J36</f>
        <v>2122</v>
      </c>
      <c r="U196" s="84">
        <f t="shared" si="448"/>
        <v>1</v>
      </c>
      <c r="V196" s="84">
        <f t="shared" ref="V196:V200" si="455">(T196-S196)*U196</f>
        <v>7.4000000000000909</v>
      </c>
      <c r="W196" s="84">
        <f>'HKL351'!U36</f>
        <v>1.25</v>
      </c>
      <c r="X196" s="84">
        <f>'HKL351'!V36</f>
        <v>0.87</v>
      </c>
      <c r="Y196" s="85">
        <f t="shared" ref="Y196:Y200" si="456">N196/30/I196</f>
        <v>0.76888888888888685</v>
      </c>
      <c r="Z196" s="84"/>
      <c r="AA196" s="82"/>
    </row>
    <row r="197" spans="1:27" s="40" customFormat="1" ht="39.950000000000003" hidden="1" customHeight="1" x14ac:dyDescent="0.25">
      <c r="A197" s="49">
        <v>29</v>
      </c>
      <c r="B197" s="50" t="s">
        <v>43</v>
      </c>
      <c r="C197" s="56" t="str">
        <f t="shared" si="393"/>
        <v>HDKOTE/1714</v>
      </c>
      <c r="D197" s="51" t="s">
        <v>155</v>
      </c>
      <c r="E197" s="55" t="str">
        <f t="shared" ref="E197:F197" si="457">E196</f>
        <v>HKL351</v>
      </c>
      <c r="F197" s="50">
        <f t="shared" si="457"/>
        <v>0.72</v>
      </c>
      <c r="G197" s="49" t="s">
        <v>221</v>
      </c>
      <c r="H197" s="64" t="s">
        <v>222</v>
      </c>
      <c r="I197" s="49">
        <f t="shared" ref="I197:J197" si="458">I196</f>
        <v>3</v>
      </c>
      <c r="J197" s="49" t="str">
        <f t="shared" si="458"/>
        <v>LT 3</v>
      </c>
      <c r="K197" s="84">
        <f>'HKL351'!Q37</f>
        <v>6772.5</v>
      </c>
      <c r="L197" s="84">
        <f>'HKL351'!P37</f>
        <v>6856.7</v>
      </c>
      <c r="M197" s="84">
        <f t="shared" si="447"/>
        <v>1</v>
      </c>
      <c r="N197" s="84">
        <f t="shared" si="453"/>
        <v>84.199999999999818</v>
      </c>
      <c r="O197" s="84">
        <f>'HKL351'!F37</f>
        <v>5311.4</v>
      </c>
      <c r="P197" s="84">
        <f>'HKL351'!E37</f>
        <v>5501.3</v>
      </c>
      <c r="Q197" s="84">
        <f t="shared" si="396"/>
        <v>1</v>
      </c>
      <c r="R197" s="84">
        <f t="shared" si="454"/>
        <v>189.90000000000055</v>
      </c>
      <c r="S197" s="84">
        <f>'HKL351'!K37</f>
        <v>2122</v>
      </c>
      <c r="T197" s="84">
        <f>'HKL351'!J37</f>
        <v>2128.4</v>
      </c>
      <c r="U197" s="84">
        <f t="shared" si="448"/>
        <v>1</v>
      </c>
      <c r="V197" s="84">
        <f t="shared" si="455"/>
        <v>6.4000000000000909</v>
      </c>
      <c r="W197" s="84">
        <f>'HKL351'!U37</f>
        <v>1.38</v>
      </c>
      <c r="X197" s="84">
        <f>'HKL351'!V37</f>
        <v>0.84</v>
      </c>
      <c r="Y197" s="85">
        <f t="shared" si="456"/>
        <v>0.93555555555555348</v>
      </c>
      <c r="Z197" s="84"/>
      <c r="AA197" s="82"/>
    </row>
    <row r="198" spans="1:27" s="40" customFormat="1" ht="39.950000000000003" customHeight="1" x14ac:dyDescent="0.25">
      <c r="A198" s="49">
        <v>30</v>
      </c>
      <c r="B198" s="50" t="s">
        <v>43</v>
      </c>
      <c r="C198" s="56" t="str">
        <f t="shared" si="393"/>
        <v>HDKOTE/1714</v>
      </c>
      <c r="D198" s="51" t="s">
        <v>155</v>
      </c>
      <c r="E198" s="55" t="str">
        <f t="shared" si="451"/>
        <v>HKL351</v>
      </c>
      <c r="F198" s="50">
        <f t="shared" si="451"/>
        <v>0.72</v>
      </c>
      <c r="G198" s="49" t="s">
        <v>221</v>
      </c>
      <c r="H198" s="64" t="s">
        <v>222</v>
      </c>
      <c r="I198" s="49">
        <f t="shared" si="452"/>
        <v>3</v>
      </c>
      <c r="J198" s="49" t="str">
        <f t="shared" si="452"/>
        <v>LT 3</v>
      </c>
      <c r="K198" s="84">
        <f>'HKL351'!Q38</f>
        <v>6856.7</v>
      </c>
      <c r="L198" s="84">
        <f>'HKL351'!P38</f>
        <v>6909</v>
      </c>
      <c r="M198" s="84">
        <f t="shared" si="447"/>
        <v>1</v>
      </c>
      <c r="N198" s="84">
        <f t="shared" ref="N198" si="459">(L198-K198)*M198</f>
        <v>52.300000000000182</v>
      </c>
      <c r="O198" s="84">
        <f>'HKL351'!F38</f>
        <v>5501.3</v>
      </c>
      <c r="P198" s="84">
        <f>'HKL351'!E38</f>
        <v>5700.4</v>
      </c>
      <c r="Q198" s="84">
        <f t="shared" si="396"/>
        <v>1</v>
      </c>
      <c r="R198" s="84">
        <f t="shared" ref="R198" si="460">(P198-O198)*Q198</f>
        <v>199.09999999999945</v>
      </c>
      <c r="S198" s="84">
        <f>'HKL351'!K38</f>
        <v>2128.4</v>
      </c>
      <c r="T198" s="84">
        <f>'HKL351'!J38</f>
        <v>2132.9</v>
      </c>
      <c r="U198" s="84">
        <f t="shared" si="448"/>
        <v>1</v>
      </c>
      <c r="V198" s="84">
        <f t="shared" ref="V198" si="461">(T198-S198)*U198</f>
        <v>4.5</v>
      </c>
      <c r="W198" s="84">
        <f>'HKL351'!U38</f>
        <v>1.92</v>
      </c>
      <c r="X198" s="84">
        <f>'HKL351'!V38</f>
        <v>0.82</v>
      </c>
      <c r="Y198" s="85">
        <f t="shared" si="456"/>
        <v>0.58111111111111313</v>
      </c>
      <c r="Z198" s="84"/>
      <c r="AA198" s="82"/>
    </row>
    <row r="199" spans="1:27" s="40" customFormat="1" ht="39.950000000000003" hidden="1" customHeight="1" x14ac:dyDescent="0.25">
      <c r="A199" s="49">
        <v>31</v>
      </c>
      <c r="B199" s="50" t="s">
        <v>43</v>
      </c>
      <c r="C199" s="56" t="str">
        <f t="shared" si="393"/>
        <v>HDKOTE/1714</v>
      </c>
      <c r="D199" s="51" t="s">
        <v>155</v>
      </c>
      <c r="E199" s="55" t="str">
        <f t="shared" ref="E199:F199" si="462">E198</f>
        <v>HKL351</v>
      </c>
      <c r="F199" s="50">
        <f t="shared" si="462"/>
        <v>0.72</v>
      </c>
      <c r="G199" s="49" t="s">
        <v>221</v>
      </c>
      <c r="H199" s="64" t="s">
        <v>222</v>
      </c>
      <c r="I199" s="49">
        <f t="shared" ref="I199:J199" si="463">I198</f>
        <v>3</v>
      </c>
      <c r="J199" s="49" t="str">
        <f t="shared" si="463"/>
        <v>LT 3</v>
      </c>
      <c r="K199" s="84">
        <f>'HKL351'!Q39</f>
        <v>6909</v>
      </c>
      <c r="L199" s="84">
        <f>'HKL351'!P39</f>
        <v>6985.6</v>
      </c>
      <c r="M199" s="84">
        <f t="shared" si="447"/>
        <v>1</v>
      </c>
      <c r="N199" s="84">
        <f t="shared" si="453"/>
        <v>76.600000000000364</v>
      </c>
      <c r="O199" s="84">
        <f>'HKL351'!F39</f>
        <v>5700.4</v>
      </c>
      <c r="P199" s="84">
        <f>'HKL351'!E39</f>
        <v>5909</v>
      </c>
      <c r="Q199" s="84">
        <f t="shared" si="396"/>
        <v>1</v>
      </c>
      <c r="R199" s="84">
        <f t="shared" si="454"/>
        <v>208.60000000000036</v>
      </c>
      <c r="S199" s="84">
        <f>'HKL351'!K39</f>
        <v>2132.9</v>
      </c>
      <c r="T199" s="84">
        <f>'HKL351'!J39</f>
        <v>2146.8000000000002</v>
      </c>
      <c r="U199" s="84">
        <f t="shared" si="448"/>
        <v>1</v>
      </c>
      <c r="V199" s="84">
        <f t="shared" si="455"/>
        <v>13.900000000000091</v>
      </c>
      <c r="W199" s="84"/>
      <c r="X199" s="84"/>
      <c r="Y199" s="85">
        <f t="shared" si="456"/>
        <v>0.85111111111111526</v>
      </c>
      <c r="Z199" s="84"/>
      <c r="AA199" s="82"/>
    </row>
    <row r="200" spans="1:27" s="40" customFormat="1" ht="39.950000000000003" hidden="1" customHeight="1" x14ac:dyDescent="0.25">
      <c r="A200" s="49">
        <v>32</v>
      </c>
      <c r="B200" s="50" t="s">
        <v>43</v>
      </c>
      <c r="C200" s="56" t="str">
        <f t="shared" si="393"/>
        <v>HDKOTE/1714</v>
      </c>
      <c r="D200" s="51" t="s">
        <v>155</v>
      </c>
      <c r="E200" s="55" t="str">
        <f t="shared" ref="E200:F200" si="464">E199</f>
        <v>HKL351</v>
      </c>
      <c r="F200" s="50">
        <f t="shared" si="464"/>
        <v>0.72</v>
      </c>
      <c r="G200" s="49" t="s">
        <v>221</v>
      </c>
      <c r="H200" s="64" t="s">
        <v>222</v>
      </c>
      <c r="I200" s="49">
        <f t="shared" ref="I200:J200" si="465">I199</f>
        <v>3</v>
      </c>
      <c r="J200" s="49" t="str">
        <f t="shared" si="465"/>
        <v>LT 3</v>
      </c>
      <c r="K200" s="84">
        <f>'HKL351'!Q40</f>
        <v>6985.6</v>
      </c>
      <c r="L200" s="84">
        <f>'HKL351'!P40</f>
        <v>7076.4</v>
      </c>
      <c r="M200" s="84">
        <f t="shared" si="447"/>
        <v>1</v>
      </c>
      <c r="N200" s="84">
        <f t="shared" si="453"/>
        <v>90.799999999999272</v>
      </c>
      <c r="O200" s="84">
        <f>'HKL351'!F40</f>
        <v>5909</v>
      </c>
      <c r="P200" s="84">
        <f>'HKL351'!E40</f>
        <v>6148</v>
      </c>
      <c r="Q200" s="84">
        <f t="shared" si="396"/>
        <v>1</v>
      </c>
      <c r="R200" s="84">
        <f t="shared" si="454"/>
        <v>239</v>
      </c>
      <c r="S200" s="84">
        <f>'HKL351'!K40</f>
        <v>2146.8000000000002</v>
      </c>
      <c r="T200" s="84">
        <f>'HKL351'!J40</f>
        <v>2162</v>
      </c>
      <c r="U200" s="84">
        <f t="shared" si="448"/>
        <v>1</v>
      </c>
      <c r="V200" s="84">
        <f t="shared" si="455"/>
        <v>15.199999999999818</v>
      </c>
      <c r="W200" s="84"/>
      <c r="X200" s="84"/>
      <c r="Y200" s="85">
        <f t="shared" si="456"/>
        <v>1.0088888888888807</v>
      </c>
      <c r="Z200" s="84"/>
      <c r="AA200" s="82"/>
    </row>
    <row r="201" spans="1:27" s="40" customFormat="1" ht="39.950000000000003" hidden="1" customHeight="1" x14ac:dyDescent="0.25">
      <c r="A201" s="49"/>
      <c r="B201" s="50"/>
      <c r="C201" s="56"/>
      <c r="D201" s="51"/>
      <c r="E201" s="55"/>
      <c r="F201" s="50"/>
      <c r="G201" s="49"/>
      <c r="H201" s="64"/>
      <c r="I201" s="49"/>
      <c r="J201" s="49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5"/>
      <c r="Z201" s="84"/>
      <c r="AA201" s="82"/>
    </row>
    <row r="202" spans="1:27" s="40" customFormat="1" ht="39.950000000000003" hidden="1" customHeight="1" x14ac:dyDescent="0.25">
      <c r="A202" s="49">
        <v>1</v>
      </c>
      <c r="B202" s="50" t="s">
        <v>43</v>
      </c>
      <c r="C202" s="56" t="s">
        <v>229</v>
      </c>
      <c r="D202" s="51" t="s">
        <v>200</v>
      </c>
      <c r="E202" s="55" t="s">
        <v>157</v>
      </c>
      <c r="F202" s="50">
        <v>0.24</v>
      </c>
      <c r="G202" s="49" t="s">
        <v>221</v>
      </c>
      <c r="H202" s="64" t="s">
        <v>222</v>
      </c>
      <c r="I202" s="49">
        <v>3</v>
      </c>
      <c r="J202" s="49" t="s">
        <v>223</v>
      </c>
      <c r="K202" s="84">
        <f>'HKL373'!Q8</f>
        <v>0</v>
      </c>
      <c r="L202" s="84">
        <f>'HKL373'!P8</f>
        <v>0</v>
      </c>
      <c r="M202" s="84">
        <f>'HKL373'!S8</f>
        <v>1</v>
      </c>
      <c r="N202" s="84">
        <f>'HKL373'!T8</f>
        <v>0</v>
      </c>
      <c r="O202" s="84">
        <f>'HKL373'!F8</f>
        <v>8.6999999999999993</v>
      </c>
      <c r="P202" s="84">
        <f>'HKL373'!E8</f>
        <v>21.4</v>
      </c>
      <c r="Q202" s="84">
        <v>1</v>
      </c>
      <c r="R202" s="84">
        <f t="shared" si="7"/>
        <v>12.7</v>
      </c>
      <c r="S202" s="84">
        <f>'HKL373'!K8</f>
        <v>146.4</v>
      </c>
      <c r="T202" s="84">
        <f>'HKL373'!J8</f>
        <v>380.1</v>
      </c>
      <c r="U202" s="84">
        <f>'[1]April-18'!U12</f>
        <v>1</v>
      </c>
      <c r="V202" s="84">
        <f t="shared" si="8"/>
        <v>233.70000000000002</v>
      </c>
      <c r="W202" s="84"/>
      <c r="X202" s="84"/>
      <c r="Y202" s="85">
        <f t="shared" si="87"/>
        <v>0</v>
      </c>
      <c r="Z202" s="84"/>
      <c r="AA202" s="82" t="str">
        <f>'HKL373'!B8</f>
        <v>01.08.2019</v>
      </c>
    </row>
    <row r="203" spans="1:27" s="40" customFormat="1" ht="39.950000000000003" hidden="1" customHeight="1" x14ac:dyDescent="0.25">
      <c r="A203" s="49">
        <v>2</v>
      </c>
      <c r="B203" s="50" t="s">
        <v>43</v>
      </c>
      <c r="C203" s="56" t="str">
        <f>C202</f>
        <v>HDKOTE/1714</v>
      </c>
      <c r="D203" s="51" t="s">
        <v>200</v>
      </c>
      <c r="E203" s="55" t="str">
        <f>E202</f>
        <v>HKL373</v>
      </c>
      <c r="F203" s="50">
        <f>F202</f>
        <v>0.24</v>
      </c>
      <c r="G203" s="49" t="s">
        <v>221</v>
      </c>
      <c r="H203" s="64" t="s">
        <v>222</v>
      </c>
      <c r="I203" s="49">
        <f>I202</f>
        <v>3</v>
      </c>
      <c r="J203" s="49" t="str">
        <f>J202</f>
        <v>LT 2</v>
      </c>
      <c r="K203" s="84">
        <f>'HKL373'!Q9</f>
        <v>0</v>
      </c>
      <c r="L203" s="84">
        <f>'HKL373'!P9</f>
        <v>240.7</v>
      </c>
      <c r="M203" s="84">
        <f>'HKL373'!S9</f>
        <v>1</v>
      </c>
      <c r="N203" s="84">
        <f>'HKL373'!T9</f>
        <v>240.7</v>
      </c>
      <c r="O203" s="84">
        <f>'HKL373'!F9</f>
        <v>21.4</v>
      </c>
      <c r="P203" s="84">
        <f>'HKL373'!E9</f>
        <v>34.299999999999997</v>
      </c>
      <c r="Q203" s="84">
        <f>Q202</f>
        <v>1</v>
      </c>
      <c r="R203" s="84">
        <f t="shared" si="7"/>
        <v>12.899999999999999</v>
      </c>
      <c r="S203" s="84">
        <f>'HKL373'!K9</f>
        <v>380.1</v>
      </c>
      <c r="T203" s="84">
        <f>'HKL373'!J9</f>
        <v>586.6</v>
      </c>
      <c r="U203" s="84">
        <f>'[1]April-18'!U13</f>
        <v>1</v>
      </c>
      <c r="V203" s="84">
        <f t="shared" si="8"/>
        <v>206.5</v>
      </c>
      <c r="W203" s="84"/>
      <c r="X203" s="84"/>
      <c r="Y203" s="85">
        <f t="shared" si="87"/>
        <v>2.6744444444444446</v>
      </c>
      <c r="Z203" s="84"/>
      <c r="AA203" s="82" t="str">
        <f>'HKL373'!B9</f>
        <v>01.09.2019</v>
      </c>
    </row>
    <row r="204" spans="1:27" s="40" customFormat="1" ht="39.950000000000003" hidden="1" customHeight="1" x14ac:dyDescent="0.25">
      <c r="A204" s="49">
        <v>3</v>
      </c>
      <c r="B204" s="50" t="s">
        <v>43</v>
      </c>
      <c r="C204" s="56" t="str">
        <f>C203</f>
        <v>HDKOTE/1714</v>
      </c>
      <c r="D204" s="51" t="s">
        <v>200</v>
      </c>
      <c r="E204" s="55" t="str">
        <f>E203</f>
        <v>HKL373</v>
      </c>
      <c r="F204" s="50">
        <f>F203</f>
        <v>0.24</v>
      </c>
      <c r="G204" s="49" t="s">
        <v>221</v>
      </c>
      <c r="H204" s="64" t="s">
        <v>222</v>
      </c>
      <c r="I204" s="49">
        <f>I203</f>
        <v>3</v>
      </c>
      <c r="J204" s="49" t="str">
        <f>J203</f>
        <v>LT 2</v>
      </c>
      <c r="K204" s="84">
        <f>'HKL373'!Q10</f>
        <v>240.7</v>
      </c>
      <c r="L204" s="84">
        <f>'HKL373'!P10</f>
        <v>461.7</v>
      </c>
      <c r="M204" s="84">
        <f>'HKL373'!S10</f>
        <v>1</v>
      </c>
      <c r="N204" s="84">
        <f>'HKL373'!T10</f>
        <v>221</v>
      </c>
      <c r="O204" s="84">
        <f>'HKL373'!F10</f>
        <v>34.299999999999997</v>
      </c>
      <c r="P204" s="84">
        <f>'HKL373'!E10</f>
        <v>44.4</v>
      </c>
      <c r="Q204" s="84">
        <f>Q203</f>
        <v>1</v>
      </c>
      <c r="R204" s="84">
        <f t="shared" si="7"/>
        <v>10.100000000000001</v>
      </c>
      <c r="S204" s="84">
        <f>'HKL373'!K10</f>
        <v>586.6</v>
      </c>
      <c r="T204" s="84">
        <f>'HKL373'!J10</f>
        <v>791.6</v>
      </c>
      <c r="U204" s="84">
        <f>'[1]April-18'!U14</f>
        <v>1</v>
      </c>
      <c r="V204" s="84">
        <f t="shared" si="8"/>
        <v>205</v>
      </c>
      <c r="W204" s="84"/>
      <c r="X204" s="84"/>
      <c r="Y204" s="85">
        <f t="shared" si="87"/>
        <v>2.4555555555555553</v>
      </c>
      <c r="Z204" s="84"/>
      <c r="AA204" s="82" t="str">
        <f>'HKL373'!B10</f>
        <v>01.10.2019</v>
      </c>
    </row>
    <row r="205" spans="1:27" s="40" customFormat="1" ht="39.950000000000003" hidden="1" customHeight="1" x14ac:dyDescent="0.25">
      <c r="A205" s="49">
        <v>4</v>
      </c>
      <c r="B205" s="50" t="s">
        <v>43</v>
      </c>
      <c r="C205" s="56" t="str">
        <f t="shared" ref="C205:C234" si="466">C204</f>
        <v>HDKOTE/1714</v>
      </c>
      <c r="D205" s="51" t="s">
        <v>200</v>
      </c>
      <c r="E205" s="55" t="str">
        <f t="shared" ref="E205:F208" si="467">E204</f>
        <v>HKL373</v>
      </c>
      <c r="F205" s="50">
        <f t="shared" si="467"/>
        <v>0.24</v>
      </c>
      <c r="G205" s="49" t="s">
        <v>221</v>
      </c>
      <c r="H205" s="64" t="s">
        <v>222</v>
      </c>
      <c r="I205" s="49">
        <f t="shared" ref="I205:J208" si="468">I204</f>
        <v>3</v>
      </c>
      <c r="J205" s="49" t="str">
        <f t="shared" si="468"/>
        <v>LT 2</v>
      </c>
      <c r="K205" s="84">
        <f>'HKL373'!Q11</f>
        <v>461.7</v>
      </c>
      <c r="L205" s="84">
        <f>'HKL373'!P11</f>
        <v>680.7</v>
      </c>
      <c r="M205" s="84">
        <f>'HKL373'!S11</f>
        <v>1</v>
      </c>
      <c r="N205" s="84">
        <f>'HKL373'!T11</f>
        <v>219.00000000000006</v>
      </c>
      <c r="O205" s="84">
        <f>'HKL373'!F11</f>
        <v>44.4</v>
      </c>
      <c r="P205" s="84">
        <f>'HKL373'!E11</f>
        <v>55.4</v>
      </c>
      <c r="Q205" s="84">
        <f t="shared" ref="Q205:Q234" si="469">Q204</f>
        <v>1</v>
      </c>
      <c r="R205" s="84">
        <f t="shared" si="7"/>
        <v>11</v>
      </c>
      <c r="S205" s="84">
        <f>'HKL373'!K11</f>
        <v>791.6</v>
      </c>
      <c r="T205" s="84">
        <f>'HKL373'!J11</f>
        <v>995.6</v>
      </c>
      <c r="U205" s="84">
        <f>'[1]April-18'!U15</f>
        <v>1</v>
      </c>
      <c r="V205" s="84">
        <f t="shared" si="8"/>
        <v>204</v>
      </c>
      <c r="W205" s="84"/>
      <c r="X205" s="84"/>
      <c r="Y205" s="85">
        <f t="shared" si="87"/>
        <v>2.433333333333334</v>
      </c>
      <c r="Z205" s="84"/>
      <c r="AA205" s="82" t="str">
        <f>'HKL373'!B11</f>
        <v>01.11.2019</v>
      </c>
    </row>
    <row r="206" spans="1:27" s="40" customFormat="1" ht="39.950000000000003" hidden="1" customHeight="1" x14ac:dyDescent="0.25">
      <c r="A206" s="49">
        <v>5</v>
      </c>
      <c r="B206" s="50" t="s">
        <v>43</v>
      </c>
      <c r="C206" s="56" t="str">
        <f t="shared" si="466"/>
        <v>HDKOTE/1714</v>
      </c>
      <c r="D206" s="51" t="s">
        <v>200</v>
      </c>
      <c r="E206" s="55" t="str">
        <f t="shared" si="467"/>
        <v>HKL373</v>
      </c>
      <c r="F206" s="50">
        <f t="shared" si="467"/>
        <v>0.24</v>
      </c>
      <c r="G206" s="49" t="s">
        <v>221</v>
      </c>
      <c r="H206" s="64" t="s">
        <v>222</v>
      </c>
      <c r="I206" s="49">
        <f t="shared" si="468"/>
        <v>3</v>
      </c>
      <c r="J206" s="49" t="str">
        <f t="shared" si="468"/>
        <v>LT 2</v>
      </c>
      <c r="K206" s="84">
        <f>'HKL373'!Q12</f>
        <v>680.7</v>
      </c>
      <c r="L206" s="84">
        <f>'HKL373'!P12</f>
        <v>940.6</v>
      </c>
      <c r="M206" s="84">
        <f>'HKL373'!S12</f>
        <v>1</v>
      </c>
      <c r="N206" s="84">
        <f>'HKL373'!T12</f>
        <v>259.89999999999998</v>
      </c>
      <c r="O206" s="84">
        <f>'HKL373'!F12</f>
        <v>55.4</v>
      </c>
      <c r="P206" s="84">
        <f>'HKL373'!E12</f>
        <v>75.599999999999994</v>
      </c>
      <c r="Q206" s="84">
        <f t="shared" si="469"/>
        <v>1</v>
      </c>
      <c r="R206" s="84">
        <f t="shared" si="7"/>
        <v>20.199999999999996</v>
      </c>
      <c r="S206" s="84">
        <f>'HKL373'!K12</f>
        <v>995.6</v>
      </c>
      <c r="T206" s="84">
        <f>'HKL373'!J12</f>
        <v>1224.7</v>
      </c>
      <c r="U206" s="84">
        <f>'[1]April-18'!U16</f>
        <v>1</v>
      </c>
      <c r="V206" s="84">
        <f t="shared" si="8"/>
        <v>229.10000000000002</v>
      </c>
      <c r="W206" s="84"/>
      <c r="X206" s="84"/>
      <c r="Y206" s="85">
        <f t="shared" si="87"/>
        <v>2.8877777777777776</v>
      </c>
      <c r="Z206" s="84"/>
      <c r="AA206" s="82" t="str">
        <f>'HKL373'!B12</f>
        <v>01.12.2019</v>
      </c>
    </row>
    <row r="207" spans="1:27" s="40" customFormat="1" ht="39.950000000000003" hidden="1" customHeight="1" x14ac:dyDescent="0.25">
      <c r="A207" s="49">
        <v>6</v>
      </c>
      <c r="B207" s="50" t="s">
        <v>43</v>
      </c>
      <c r="C207" s="56" t="str">
        <f t="shared" si="466"/>
        <v>HDKOTE/1714</v>
      </c>
      <c r="D207" s="51" t="s">
        <v>200</v>
      </c>
      <c r="E207" s="55" t="str">
        <f t="shared" si="467"/>
        <v>HKL373</v>
      </c>
      <c r="F207" s="50">
        <f t="shared" si="467"/>
        <v>0.24</v>
      </c>
      <c r="G207" s="49" t="s">
        <v>221</v>
      </c>
      <c r="H207" s="64" t="s">
        <v>222</v>
      </c>
      <c r="I207" s="49">
        <f t="shared" si="468"/>
        <v>3</v>
      </c>
      <c r="J207" s="49" t="str">
        <f t="shared" si="468"/>
        <v>LT 2</v>
      </c>
      <c r="K207" s="84">
        <f>'HKL373'!Q13</f>
        <v>940.6</v>
      </c>
      <c r="L207" s="84">
        <f>'HKL373'!P13</f>
        <v>1265</v>
      </c>
      <c r="M207" s="84">
        <f>'HKL373'!S13</f>
        <v>1</v>
      </c>
      <c r="N207" s="84">
        <f>'HKL373'!T13</f>
        <v>324.39999999999998</v>
      </c>
      <c r="O207" s="84">
        <f>'HKL373'!F13</f>
        <v>75.599999999999994</v>
      </c>
      <c r="P207" s="84">
        <f>'HKL373'!E13</f>
        <v>89.9</v>
      </c>
      <c r="Q207" s="84">
        <f t="shared" si="469"/>
        <v>1</v>
      </c>
      <c r="R207" s="84">
        <f t="shared" si="7"/>
        <v>14.300000000000011</v>
      </c>
      <c r="S207" s="84">
        <f>'HKL373'!K13</f>
        <v>1224.7</v>
      </c>
      <c r="T207" s="84">
        <f>'HKL373'!J13</f>
        <v>1540</v>
      </c>
      <c r="U207" s="84">
        <f>'[1]April-18'!U17</f>
        <v>1</v>
      </c>
      <c r="V207" s="84">
        <f t="shared" si="8"/>
        <v>315.29999999999995</v>
      </c>
      <c r="W207" s="84"/>
      <c r="X207" s="84"/>
      <c r="Y207" s="85">
        <f t="shared" si="87"/>
        <v>3.6044444444444443</v>
      </c>
      <c r="Z207" s="84"/>
      <c r="AA207" s="82" t="str">
        <f>'HKL373'!B13</f>
        <v>01.01.2020</v>
      </c>
    </row>
    <row r="208" spans="1:27" s="40" customFormat="1" ht="39.950000000000003" hidden="1" customHeight="1" x14ac:dyDescent="0.25">
      <c r="A208" s="49">
        <v>7</v>
      </c>
      <c r="B208" s="50" t="s">
        <v>43</v>
      </c>
      <c r="C208" s="56" t="str">
        <f t="shared" si="466"/>
        <v>HDKOTE/1714</v>
      </c>
      <c r="D208" s="51" t="s">
        <v>200</v>
      </c>
      <c r="E208" s="55" t="str">
        <f t="shared" si="467"/>
        <v>HKL373</v>
      </c>
      <c r="F208" s="50">
        <f t="shared" si="467"/>
        <v>0.24</v>
      </c>
      <c r="G208" s="49" t="s">
        <v>221</v>
      </c>
      <c r="H208" s="64" t="s">
        <v>222</v>
      </c>
      <c r="I208" s="49">
        <f t="shared" si="468"/>
        <v>3</v>
      </c>
      <c r="J208" s="49" t="str">
        <f t="shared" si="468"/>
        <v>LT 2</v>
      </c>
      <c r="K208" s="84">
        <f>'HKL373'!Q14</f>
        <v>1265</v>
      </c>
      <c r="L208" s="84">
        <f>'HKL373'!P14</f>
        <v>1559</v>
      </c>
      <c r="M208" s="84">
        <f>'HKL373'!S14</f>
        <v>1</v>
      </c>
      <c r="N208" s="84">
        <f>'HKL373'!T14</f>
        <v>294</v>
      </c>
      <c r="O208" s="84">
        <f>'HKL373'!F14</f>
        <v>89.9</v>
      </c>
      <c r="P208" s="84">
        <f>'HKL373'!E14</f>
        <v>101.9</v>
      </c>
      <c r="Q208" s="84">
        <f t="shared" si="469"/>
        <v>1</v>
      </c>
      <c r="R208" s="84">
        <f t="shared" si="7"/>
        <v>12</v>
      </c>
      <c r="S208" s="84">
        <f>'HKL373'!K14</f>
        <v>1540</v>
      </c>
      <c r="T208" s="84">
        <f>'HKL373'!J14</f>
        <v>1833</v>
      </c>
      <c r="U208" s="84">
        <f>'[1]April-18'!U18</f>
        <v>1</v>
      </c>
      <c r="V208" s="84">
        <f t="shared" si="8"/>
        <v>293</v>
      </c>
      <c r="W208" s="84"/>
      <c r="X208" s="84"/>
      <c r="Y208" s="85">
        <f t="shared" si="87"/>
        <v>3.2666666666666671</v>
      </c>
      <c r="Z208" s="84"/>
      <c r="AA208" s="82" t="s">
        <v>253</v>
      </c>
    </row>
    <row r="209" spans="1:27" s="40" customFormat="1" ht="39.950000000000003" hidden="1" customHeight="1" x14ac:dyDescent="0.25">
      <c r="A209" s="49">
        <v>8</v>
      </c>
      <c r="B209" s="50" t="s">
        <v>43</v>
      </c>
      <c r="C209" s="56" t="str">
        <f t="shared" si="466"/>
        <v>HDKOTE/1714</v>
      </c>
      <c r="D209" s="51" t="s">
        <v>200</v>
      </c>
      <c r="E209" s="55" t="str">
        <f t="shared" ref="E209:F209" si="470">E208</f>
        <v>HKL373</v>
      </c>
      <c r="F209" s="50">
        <f t="shared" si="470"/>
        <v>0.24</v>
      </c>
      <c r="G209" s="49" t="s">
        <v>221</v>
      </c>
      <c r="H209" s="64" t="s">
        <v>222</v>
      </c>
      <c r="I209" s="49">
        <f t="shared" ref="I209:J209" si="471">I208</f>
        <v>3</v>
      </c>
      <c r="J209" s="49" t="str">
        <f t="shared" si="471"/>
        <v>LT 2</v>
      </c>
      <c r="K209" s="84">
        <f>'HKL373'!Q15</f>
        <v>1559</v>
      </c>
      <c r="L209" s="84">
        <f>'HKL373'!P15</f>
        <v>1810</v>
      </c>
      <c r="M209" s="84">
        <f>'HKL373'!S15</f>
        <v>1</v>
      </c>
      <c r="N209" s="84">
        <f>'HKL373'!T15</f>
        <v>251</v>
      </c>
      <c r="O209" s="84">
        <f>'HKL373'!F15</f>
        <v>101.9</v>
      </c>
      <c r="P209" s="84">
        <f>'HKL373'!E15</f>
        <v>117.2</v>
      </c>
      <c r="Q209" s="84">
        <f t="shared" si="469"/>
        <v>1</v>
      </c>
      <c r="R209" s="84">
        <f t="shared" ref="R209:R225" si="472">(P209-O209)*Q209</f>
        <v>15.299999999999997</v>
      </c>
      <c r="S209" s="84">
        <f>'HKL373'!K15</f>
        <v>1833</v>
      </c>
      <c r="T209" s="84">
        <f>'HKL373'!J15</f>
        <v>2066.8000000000002</v>
      </c>
      <c r="U209" s="84">
        <f>'[1]April-18'!U19</f>
        <v>1</v>
      </c>
      <c r="V209" s="84">
        <f t="shared" ref="V209:V224" si="473">(T209-S209)*U209</f>
        <v>233.80000000000018</v>
      </c>
      <c r="W209" s="84"/>
      <c r="X209" s="84"/>
      <c r="Y209" s="85">
        <f t="shared" ref="Y209:Y224" si="474">N209/30/I209</f>
        <v>2.7888888888888892</v>
      </c>
      <c r="Z209" s="84"/>
      <c r="AA209" s="82"/>
    </row>
    <row r="210" spans="1:27" s="40" customFormat="1" ht="39.950000000000003" hidden="1" customHeight="1" x14ac:dyDescent="0.25">
      <c r="A210" s="49">
        <v>9</v>
      </c>
      <c r="B210" s="50" t="s">
        <v>43</v>
      </c>
      <c r="C210" s="56" t="str">
        <f t="shared" si="466"/>
        <v>HDKOTE/1714</v>
      </c>
      <c r="D210" s="51" t="s">
        <v>200</v>
      </c>
      <c r="E210" s="55" t="str">
        <f t="shared" ref="E210:F210" si="475">E209</f>
        <v>HKL373</v>
      </c>
      <c r="F210" s="50">
        <f t="shared" si="475"/>
        <v>0.24</v>
      </c>
      <c r="G210" s="49" t="s">
        <v>221</v>
      </c>
      <c r="H210" s="64" t="s">
        <v>222</v>
      </c>
      <c r="I210" s="49">
        <f t="shared" ref="I210:J210" si="476">I209</f>
        <v>3</v>
      </c>
      <c r="J210" s="49" t="str">
        <f t="shared" si="476"/>
        <v>LT 2</v>
      </c>
      <c r="K210" s="84">
        <f>'HKL373'!Q16</f>
        <v>1810</v>
      </c>
      <c r="L210" s="84">
        <f>'HKL373'!P16</f>
        <v>2083</v>
      </c>
      <c r="M210" s="84">
        <f>'HKL373'!S16</f>
        <v>1</v>
      </c>
      <c r="N210" s="84">
        <f>'HKL373'!T16</f>
        <v>273</v>
      </c>
      <c r="O210" s="84">
        <f>'HKL373'!F16</f>
        <v>117.2</v>
      </c>
      <c r="P210" s="84">
        <f>'HKL373'!E16</f>
        <v>130.19999999999999</v>
      </c>
      <c r="Q210" s="84">
        <f t="shared" si="469"/>
        <v>1</v>
      </c>
      <c r="R210" s="84">
        <f t="shared" si="472"/>
        <v>12.999999999999986</v>
      </c>
      <c r="S210" s="84">
        <f>'HKL373'!K16</f>
        <v>2066.8000000000002</v>
      </c>
      <c r="T210" s="84">
        <f>'HKL373'!J16</f>
        <v>2326.8000000000002</v>
      </c>
      <c r="U210" s="84">
        <f>'[1]April-18'!U20</f>
        <v>1</v>
      </c>
      <c r="V210" s="84">
        <f t="shared" si="473"/>
        <v>260</v>
      </c>
      <c r="W210" s="84"/>
      <c r="X210" s="84"/>
      <c r="Y210" s="85">
        <f t="shared" si="474"/>
        <v>3.0333333333333332</v>
      </c>
      <c r="Z210" s="84"/>
      <c r="AA210" s="82"/>
    </row>
    <row r="211" spans="1:27" s="40" customFormat="1" ht="39.950000000000003" hidden="1" customHeight="1" x14ac:dyDescent="0.25">
      <c r="A211" s="49">
        <v>10</v>
      </c>
      <c r="B211" s="50" t="s">
        <v>43</v>
      </c>
      <c r="C211" s="56" t="str">
        <f t="shared" si="466"/>
        <v>HDKOTE/1714</v>
      </c>
      <c r="D211" s="51" t="s">
        <v>200</v>
      </c>
      <c r="E211" s="55" t="str">
        <f t="shared" ref="E211:F211" si="477">E210</f>
        <v>HKL373</v>
      </c>
      <c r="F211" s="50">
        <f t="shared" si="477"/>
        <v>0.24</v>
      </c>
      <c r="G211" s="49" t="s">
        <v>221</v>
      </c>
      <c r="H211" s="64" t="s">
        <v>222</v>
      </c>
      <c r="I211" s="49">
        <f t="shared" ref="I211:J211" si="478">I210</f>
        <v>3</v>
      </c>
      <c r="J211" s="49" t="str">
        <f t="shared" si="478"/>
        <v>LT 2</v>
      </c>
      <c r="K211" s="84">
        <f>'HKL373'!Q17</f>
        <v>0</v>
      </c>
      <c r="L211" s="84">
        <f>'HKL373'!P17</f>
        <v>0</v>
      </c>
      <c r="M211" s="84">
        <f>'HKL373'!S17</f>
        <v>0</v>
      </c>
      <c r="N211" s="84">
        <f>'HKL373'!T17</f>
        <v>2083</v>
      </c>
      <c r="O211" s="84">
        <f>'HKL373'!F17</f>
        <v>0</v>
      </c>
      <c r="P211" s="84">
        <f>'HKL373'!E17</f>
        <v>0</v>
      </c>
      <c r="Q211" s="84">
        <f t="shared" si="469"/>
        <v>1</v>
      </c>
      <c r="R211" s="84">
        <f t="shared" si="472"/>
        <v>0</v>
      </c>
      <c r="S211" s="84">
        <f>'HKL373'!K17</f>
        <v>0</v>
      </c>
      <c r="T211" s="84">
        <f>'HKL373'!J17</f>
        <v>0</v>
      </c>
      <c r="U211" s="84">
        <f>'[1]April-18'!U21</f>
        <v>1</v>
      </c>
      <c r="V211" s="84">
        <f t="shared" si="473"/>
        <v>0</v>
      </c>
      <c r="W211" s="84"/>
      <c r="X211" s="84"/>
      <c r="Y211" s="85">
        <f t="shared" si="474"/>
        <v>23.144444444444446</v>
      </c>
      <c r="Z211" s="84"/>
      <c r="AA211" s="82"/>
    </row>
    <row r="212" spans="1:27" s="40" customFormat="1" ht="39.950000000000003" hidden="1" customHeight="1" x14ac:dyDescent="0.25">
      <c r="A212" s="49">
        <v>11</v>
      </c>
      <c r="B212" s="50" t="s">
        <v>43</v>
      </c>
      <c r="C212" s="56" t="str">
        <f t="shared" si="466"/>
        <v>HDKOTE/1714</v>
      </c>
      <c r="D212" s="51" t="s">
        <v>200</v>
      </c>
      <c r="E212" s="55" t="str">
        <f t="shared" ref="E212:F212" si="479">E211</f>
        <v>HKL373</v>
      </c>
      <c r="F212" s="50">
        <f t="shared" si="479"/>
        <v>0.24</v>
      </c>
      <c r="G212" s="49" t="s">
        <v>221</v>
      </c>
      <c r="H212" s="64" t="s">
        <v>222</v>
      </c>
      <c r="I212" s="49">
        <f t="shared" ref="I212:J212" si="480">I211</f>
        <v>3</v>
      </c>
      <c r="J212" s="49" t="str">
        <f t="shared" si="480"/>
        <v>LT 2</v>
      </c>
      <c r="K212" s="84">
        <f>'HKL373'!Q18</f>
        <v>2083</v>
      </c>
      <c r="L212" s="84">
        <f>'HKL373'!P18</f>
        <v>2358</v>
      </c>
      <c r="M212" s="84">
        <f>'HKL373'!S18</f>
        <v>1</v>
      </c>
      <c r="N212" s="84">
        <f>'HKL373'!T18</f>
        <v>275</v>
      </c>
      <c r="O212" s="84">
        <f>'HKL373'!F18</f>
        <v>130.19999999999999</v>
      </c>
      <c r="P212" s="84">
        <f>'HKL373'!E18</f>
        <v>142.79999999999998</v>
      </c>
      <c r="Q212" s="84">
        <f t="shared" si="469"/>
        <v>1</v>
      </c>
      <c r="R212" s="84">
        <f t="shared" si="472"/>
        <v>12.599999999999994</v>
      </c>
      <c r="S212" s="84">
        <f>'HKL373'!K18</f>
        <v>2326.8000000000002</v>
      </c>
      <c r="T212" s="84">
        <f>'HKL373'!J18</f>
        <v>2588.8000000000002</v>
      </c>
      <c r="U212" s="84">
        <f>'[1]April-18'!U22</f>
        <v>1</v>
      </c>
      <c r="V212" s="84">
        <f t="shared" si="473"/>
        <v>262</v>
      </c>
      <c r="W212" s="84"/>
      <c r="X212" s="84"/>
      <c r="Y212" s="85">
        <f t="shared" si="474"/>
        <v>3.0555555555555554</v>
      </c>
      <c r="Z212" s="84"/>
      <c r="AA212" s="82"/>
    </row>
    <row r="213" spans="1:27" s="40" customFormat="1" ht="39.950000000000003" hidden="1" customHeight="1" x14ac:dyDescent="0.25">
      <c r="A213" s="49">
        <v>12</v>
      </c>
      <c r="B213" s="50" t="s">
        <v>43</v>
      </c>
      <c r="C213" s="56" t="str">
        <f t="shared" si="466"/>
        <v>HDKOTE/1714</v>
      </c>
      <c r="D213" s="51" t="s">
        <v>200</v>
      </c>
      <c r="E213" s="55" t="str">
        <f t="shared" ref="E213:F213" si="481">E212</f>
        <v>HKL373</v>
      </c>
      <c r="F213" s="50">
        <f t="shared" si="481"/>
        <v>0.24</v>
      </c>
      <c r="G213" s="49" t="s">
        <v>221</v>
      </c>
      <c r="H213" s="64" t="s">
        <v>222</v>
      </c>
      <c r="I213" s="49">
        <f t="shared" ref="I213:J213" si="482">I212</f>
        <v>3</v>
      </c>
      <c r="J213" s="49" t="str">
        <f t="shared" si="482"/>
        <v>LT 2</v>
      </c>
      <c r="K213" s="84">
        <f>'HKL373'!Q19</f>
        <v>2358</v>
      </c>
      <c r="L213" s="84">
        <f>'HKL373'!P19</f>
        <v>2631</v>
      </c>
      <c r="M213" s="84">
        <f>'HKL373'!S19</f>
        <v>1</v>
      </c>
      <c r="N213" s="84">
        <f>'HKL373'!T19</f>
        <v>273</v>
      </c>
      <c r="O213" s="84">
        <f>'HKL373'!F19</f>
        <v>142.79999999999998</v>
      </c>
      <c r="P213" s="84">
        <f>'HKL373'!E19</f>
        <v>155.79999999999998</v>
      </c>
      <c r="Q213" s="84">
        <f t="shared" si="469"/>
        <v>1</v>
      </c>
      <c r="R213" s="84">
        <f t="shared" si="472"/>
        <v>13</v>
      </c>
      <c r="S213" s="84">
        <f>'HKL373'!K19</f>
        <v>2588.8000000000002</v>
      </c>
      <c r="T213" s="84">
        <f>'HKL373'!J19</f>
        <v>2848.8</v>
      </c>
      <c r="U213" s="84">
        <f>'[1]April-18'!U23</f>
        <v>1</v>
      </c>
      <c r="V213" s="84">
        <f t="shared" si="473"/>
        <v>260</v>
      </c>
      <c r="W213" s="84"/>
      <c r="X213" s="84"/>
      <c r="Y213" s="85">
        <f t="shared" si="474"/>
        <v>3.0333333333333332</v>
      </c>
      <c r="Z213" s="84"/>
      <c r="AA213" s="82"/>
    </row>
    <row r="214" spans="1:27" s="40" customFormat="1" ht="39.950000000000003" hidden="1" customHeight="1" x14ac:dyDescent="0.25">
      <c r="A214" s="49">
        <v>13</v>
      </c>
      <c r="B214" s="50" t="s">
        <v>43</v>
      </c>
      <c r="C214" s="56" t="str">
        <f t="shared" si="466"/>
        <v>HDKOTE/1714</v>
      </c>
      <c r="D214" s="51" t="s">
        <v>200</v>
      </c>
      <c r="E214" s="55" t="str">
        <f t="shared" ref="E214:F214" si="483">E213</f>
        <v>HKL373</v>
      </c>
      <c r="F214" s="50">
        <f t="shared" si="483"/>
        <v>0.24</v>
      </c>
      <c r="G214" s="49" t="s">
        <v>221</v>
      </c>
      <c r="H214" s="64" t="s">
        <v>222</v>
      </c>
      <c r="I214" s="49">
        <f t="shared" ref="I214:J214" si="484">I213</f>
        <v>3</v>
      </c>
      <c r="J214" s="49" t="str">
        <f t="shared" si="484"/>
        <v>LT 2</v>
      </c>
      <c r="K214" s="84">
        <f>'HKL373'!Q20</f>
        <v>2631</v>
      </c>
      <c r="L214" s="84">
        <f>'HKL373'!P20</f>
        <v>2913.6</v>
      </c>
      <c r="M214" s="84">
        <f>'HKL373'!S20</f>
        <v>1</v>
      </c>
      <c r="N214" s="84">
        <f>'HKL373'!T20</f>
        <v>282.59999999999991</v>
      </c>
      <c r="O214" s="84">
        <f>'HKL373'!F20</f>
        <v>155.79999999999998</v>
      </c>
      <c r="P214" s="84">
        <f>'HKL373'!E20</f>
        <v>169.5</v>
      </c>
      <c r="Q214" s="84">
        <f t="shared" si="469"/>
        <v>1</v>
      </c>
      <c r="R214" s="84">
        <f t="shared" si="472"/>
        <v>13.700000000000017</v>
      </c>
      <c r="S214" s="84">
        <f>'HKL373'!K20</f>
        <v>2848.8</v>
      </c>
      <c r="T214" s="84">
        <f>'HKL373'!J20</f>
        <v>3116.7</v>
      </c>
      <c r="U214" s="84">
        <f>'[1]April-18'!U24</f>
        <v>1</v>
      </c>
      <c r="V214" s="84">
        <f t="shared" si="473"/>
        <v>267.89999999999964</v>
      </c>
      <c r="W214" s="84"/>
      <c r="X214" s="84"/>
      <c r="Y214" s="85">
        <f t="shared" si="474"/>
        <v>3.1399999999999988</v>
      </c>
      <c r="Z214" s="84"/>
      <c r="AA214" s="82"/>
    </row>
    <row r="215" spans="1:27" s="40" customFormat="1" ht="39.950000000000003" hidden="1" customHeight="1" x14ac:dyDescent="0.25">
      <c r="A215" s="49">
        <v>14</v>
      </c>
      <c r="B215" s="50" t="s">
        <v>43</v>
      </c>
      <c r="C215" s="56" t="str">
        <f t="shared" si="466"/>
        <v>HDKOTE/1714</v>
      </c>
      <c r="D215" s="51" t="s">
        <v>200</v>
      </c>
      <c r="E215" s="55" t="str">
        <f t="shared" ref="E215:F215" si="485">E214</f>
        <v>HKL373</v>
      </c>
      <c r="F215" s="50">
        <f t="shared" si="485"/>
        <v>0.24</v>
      </c>
      <c r="G215" s="49" t="s">
        <v>221</v>
      </c>
      <c r="H215" s="64" t="s">
        <v>222</v>
      </c>
      <c r="I215" s="49">
        <f t="shared" ref="I215:J215" si="486">I214</f>
        <v>3</v>
      </c>
      <c r="J215" s="49" t="str">
        <f t="shared" si="486"/>
        <v>LT 2</v>
      </c>
      <c r="K215" s="84">
        <f>'HKL373'!Q21</f>
        <v>2913.6</v>
      </c>
      <c r="L215" s="84">
        <f>'HKL373'!P21</f>
        <v>3179.6</v>
      </c>
      <c r="M215" s="84">
        <f>'HKL373'!S21</f>
        <v>1</v>
      </c>
      <c r="N215" s="84">
        <f>'HKL373'!T21</f>
        <v>266</v>
      </c>
      <c r="O215" s="84">
        <f>'HKL373'!F21</f>
        <v>169.5</v>
      </c>
      <c r="P215" s="84">
        <f>'HKL373'!E21</f>
        <v>183.7</v>
      </c>
      <c r="Q215" s="84">
        <f t="shared" si="469"/>
        <v>1</v>
      </c>
      <c r="R215" s="84">
        <f t="shared" si="472"/>
        <v>14.199999999999989</v>
      </c>
      <c r="S215" s="84">
        <f>'HKL373'!K21</f>
        <v>3116.7</v>
      </c>
      <c r="T215" s="84">
        <f>'HKL373'!J21</f>
        <v>3353</v>
      </c>
      <c r="U215" s="84">
        <f>'[1]April-18'!U25</f>
        <v>1</v>
      </c>
      <c r="V215" s="84">
        <f t="shared" si="473"/>
        <v>236.30000000000018</v>
      </c>
      <c r="W215" s="84"/>
      <c r="X215" s="84"/>
      <c r="Y215" s="85">
        <f t="shared" si="474"/>
        <v>2.9555555555555557</v>
      </c>
      <c r="Z215" s="84"/>
      <c r="AA215" s="82"/>
    </row>
    <row r="216" spans="1:27" s="40" customFormat="1" ht="39.950000000000003" hidden="1" customHeight="1" x14ac:dyDescent="0.25">
      <c r="A216" s="49">
        <v>15</v>
      </c>
      <c r="B216" s="50" t="s">
        <v>43</v>
      </c>
      <c r="C216" s="56" t="str">
        <f t="shared" si="466"/>
        <v>HDKOTE/1714</v>
      </c>
      <c r="D216" s="51" t="s">
        <v>200</v>
      </c>
      <c r="E216" s="55" t="str">
        <f t="shared" ref="E216:F216" si="487">E215</f>
        <v>HKL373</v>
      </c>
      <c r="F216" s="50">
        <f t="shared" si="487"/>
        <v>0.24</v>
      </c>
      <c r="G216" s="49" t="s">
        <v>221</v>
      </c>
      <c r="H216" s="64" t="s">
        <v>222</v>
      </c>
      <c r="I216" s="49">
        <f t="shared" ref="I216:J216" si="488">I215</f>
        <v>3</v>
      </c>
      <c r="J216" s="49" t="str">
        <f t="shared" si="488"/>
        <v>LT 2</v>
      </c>
      <c r="K216" s="84">
        <f>'HKL373'!Q22</f>
        <v>3179.6</v>
      </c>
      <c r="L216" s="84">
        <f>'HKL373'!P22</f>
        <v>3253.6</v>
      </c>
      <c r="M216" s="84">
        <f>'HKL373'!S22</f>
        <v>1</v>
      </c>
      <c r="N216" s="84">
        <f>'HKL373'!T22</f>
        <v>74</v>
      </c>
      <c r="O216" s="84">
        <f>'HKL373'!F22</f>
        <v>183.7</v>
      </c>
      <c r="P216" s="84">
        <f>'HKL373'!E22</f>
        <v>185</v>
      </c>
      <c r="Q216" s="84">
        <f t="shared" si="469"/>
        <v>1</v>
      </c>
      <c r="R216" s="84">
        <f t="shared" si="472"/>
        <v>1.3000000000000114</v>
      </c>
      <c r="S216" s="84">
        <f>'HKL373'!K22</f>
        <v>3353</v>
      </c>
      <c r="T216" s="84">
        <f>'HKL373'!J22</f>
        <v>3423</v>
      </c>
      <c r="U216" s="84">
        <f>U215</f>
        <v>1</v>
      </c>
      <c r="V216" s="84">
        <f t="shared" si="473"/>
        <v>70</v>
      </c>
      <c r="W216" s="84"/>
      <c r="X216" s="84"/>
      <c r="Y216" s="85">
        <f t="shared" si="474"/>
        <v>0.8222222222222223</v>
      </c>
      <c r="Z216" s="84"/>
      <c r="AA216" s="82"/>
    </row>
    <row r="217" spans="1:27" s="40" customFormat="1" ht="39.950000000000003" hidden="1" customHeight="1" x14ac:dyDescent="0.25">
      <c r="A217" s="93">
        <v>16</v>
      </c>
      <c r="B217" s="50" t="s">
        <v>43</v>
      </c>
      <c r="C217" s="56" t="str">
        <f t="shared" si="466"/>
        <v>HDKOTE/1714</v>
      </c>
      <c r="D217" s="51" t="s">
        <v>200</v>
      </c>
      <c r="E217" s="55" t="str">
        <f t="shared" ref="E217:F217" si="489">E216</f>
        <v>HKL373</v>
      </c>
      <c r="F217" s="50">
        <f t="shared" si="489"/>
        <v>0.24</v>
      </c>
      <c r="G217" s="49" t="s">
        <v>221</v>
      </c>
      <c r="H217" s="64" t="s">
        <v>222</v>
      </c>
      <c r="I217" s="49">
        <f t="shared" ref="I217:J217" si="490">I216</f>
        <v>3</v>
      </c>
      <c r="J217" s="49" t="str">
        <f t="shared" si="490"/>
        <v>LT 2</v>
      </c>
      <c r="K217" s="84">
        <f>'HKL373'!Q23</f>
        <v>3253.6</v>
      </c>
      <c r="L217" s="84">
        <f>'HKL373'!P23</f>
        <v>3253.6</v>
      </c>
      <c r="M217" s="84">
        <f>'HKL373'!S23</f>
        <v>1</v>
      </c>
      <c r="N217" s="84">
        <f>'HKL373'!T23</f>
        <v>0</v>
      </c>
      <c r="O217" s="84">
        <f>'HKL373'!F23</f>
        <v>185</v>
      </c>
      <c r="P217" s="84">
        <f>'HKL373'!E23</f>
        <v>185</v>
      </c>
      <c r="Q217" s="84">
        <f t="shared" si="469"/>
        <v>1</v>
      </c>
      <c r="R217" s="84">
        <f t="shared" si="472"/>
        <v>0</v>
      </c>
      <c r="S217" s="84">
        <f>'HKL373'!K23</f>
        <v>3423</v>
      </c>
      <c r="T217" s="84">
        <f>'HKL373'!J23</f>
        <v>3423</v>
      </c>
      <c r="U217" s="84">
        <f>U216</f>
        <v>1</v>
      </c>
      <c r="V217" s="84">
        <f t="shared" si="473"/>
        <v>0</v>
      </c>
      <c r="W217" s="84"/>
      <c r="X217" s="84"/>
      <c r="Y217" s="85">
        <f t="shared" si="474"/>
        <v>0</v>
      </c>
      <c r="Z217" s="84"/>
      <c r="AA217" s="82"/>
    </row>
    <row r="218" spans="1:27" s="40" customFormat="1" ht="39.950000000000003" hidden="1" customHeight="1" x14ac:dyDescent="0.25">
      <c r="A218" s="94">
        <v>17</v>
      </c>
      <c r="B218" s="50" t="s">
        <v>43</v>
      </c>
      <c r="C218" s="56" t="str">
        <f t="shared" si="466"/>
        <v>HDKOTE/1714</v>
      </c>
      <c r="D218" s="51" t="s">
        <v>200</v>
      </c>
      <c r="E218" s="55" t="str">
        <f t="shared" ref="E218:F218" si="491">E217</f>
        <v>HKL373</v>
      </c>
      <c r="F218" s="50">
        <f t="shared" si="491"/>
        <v>0.24</v>
      </c>
      <c r="G218" s="49" t="s">
        <v>221</v>
      </c>
      <c r="H218" s="64" t="s">
        <v>222</v>
      </c>
      <c r="I218" s="49">
        <f t="shared" ref="I218:J218" si="492">I217</f>
        <v>3</v>
      </c>
      <c r="J218" s="49" t="str">
        <f t="shared" si="492"/>
        <v>LT 2</v>
      </c>
      <c r="K218" s="84">
        <f>'HKL373'!Q24</f>
        <v>0</v>
      </c>
      <c r="L218" s="84">
        <f>'HKL373'!P24</f>
        <v>0</v>
      </c>
      <c r="M218" s="84">
        <f>'HKL373'!S24</f>
        <v>0</v>
      </c>
      <c r="N218" s="84">
        <f>'HKL373'!T24</f>
        <v>0</v>
      </c>
      <c r="O218" s="84">
        <f>'HKL373'!F24</f>
        <v>0</v>
      </c>
      <c r="P218" s="84" t="str">
        <f>'HKL373'!E24</f>
        <v>DISS</v>
      </c>
      <c r="Q218" s="84">
        <f t="shared" si="469"/>
        <v>1</v>
      </c>
      <c r="R218" s="84" t="e">
        <f t="shared" si="472"/>
        <v>#VALUE!</v>
      </c>
      <c r="S218" s="84">
        <f>'HKL373'!K24</f>
        <v>0</v>
      </c>
      <c r="T218" s="84">
        <f>'HKL373'!J24</f>
        <v>0</v>
      </c>
      <c r="U218" s="84">
        <f t="shared" ref="U218:U221" si="493">U217</f>
        <v>1</v>
      </c>
      <c r="V218" s="84">
        <f t="shared" ref="V218:V219" si="494">(T218-S218)*U218</f>
        <v>0</v>
      </c>
      <c r="W218" s="84"/>
      <c r="X218" s="84"/>
      <c r="Y218" s="85">
        <f t="shared" ref="Y218:Y219" si="495">N218/30/I218</f>
        <v>0</v>
      </c>
      <c r="Z218" s="84"/>
      <c r="AA218" s="82"/>
    </row>
    <row r="219" spans="1:27" s="40" customFormat="1" ht="39.950000000000003" hidden="1" customHeight="1" x14ac:dyDescent="0.25">
      <c r="A219" s="95">
        <v>18</v>
      </c>
      <c r="B219" s="50" t="s">
        <v>43</v>
      </c>
      <c r="C219" s="56" t="str">
        <f t="shared" si="466"/>
        <v>HDKOTE/1714</v>
      </c>
      <c r="D219" s="51" t="s">
        <v>200</v>
      </c>
      <c r="E219" s="55" t="str">
        <f t="shared" ref="E219:F219" si="496">E218</f>
        <v>HKL373</v>
      </c>
      <c r="F219" s="50">
        <f t="shared" si="496"/>
        <v>0.24</v>
      </c>
      <c r="G219" s="49" t="s">
        <v>221</v>
      </c>
      <c r="H219" s="64" t="s">
        <v>222</v>
      </c>
      <c r="I219" s="49">
        <f t="shared" ref="I219:J219" si="497">I218</f>
        <v>3</v>
      </c>
      <c r="J219" s="49" t="str">
        <f t="shared" si="497"/>
        <v>LT 2</v>
      </c>
      <c r="K219" s="84">
        <f>'HKL373'!Q25</f>
        <v>0</v>
      </c>
      <c r="L219" s="84">
        <f>'HKL373'!P25</f>
        <v>0</v>
      </c>
      <c r="M219" s="84">
        <f>'HKL373'!S25</f>
        <v>0</v>
      </c>
      <c r="N219" s="84">
        <f>'HKL373'!T25</f>
        <v>0</v>
      </c>
      <c r="O219" s="84">
        <f>'HKL373'!F25</f>
        <v>0</v>
      </c>
      <c r="P219" s="84" t="str">
        <f>'HKL373'!E25</f>
        <v>DISS</v>
      </c>
      <c r="Q219" s="84">
        <f t="shared" si="469"/>
        <v>1</v>
      </c>
      <c r="R219" s="84" t="e">
        <f t="shared" ref="R219" si="498">(P219-O219)*Q219</f>
        <v>#VALUE!</v>
      </c>
      <c r="S219" s="84">
        <f>'HKL373'!K25</f>
        <v>0</v>
      </c>
      <c r="T219" s="84">
        <f>'HKL373'!J25</f>
        <v>0</v>
      </c>
      <c r="U219" s="84">
        <f t="shared" si="493"/>
        <v>1</v>
      </c>
      <c r="V219" s="84">
        <f t="shared" si="494"/>
        <v>0</v>
      </c>
      <c r="W219" s="84"/>
      <c r="X219" s="84"/>
      <c r="Y219" s="85">
        <f t="shared" si="495"/>
        <v>0</v>
      </c>
      <c r="Z219" s="84"/>
      <c r="AA219" s="82"/>
    </row>
    <row r="220" spans="1:27" s="40" customFormat="1" ht="39.950000000000003" hidden="1" customHeight="1" x14ac:dyDescent="0.25">
      <c r="A220" s="49">
        <v>19</v>
      </c>
      <c r="B220" s="50" t="s">
        <v>43</v>
      </c>
      <c r="C220" s="56" t="str">
        <f t="shared" si="466"/>
        <v>HDKOTE/1714</v>
      </c>
      <c r="D220" s="51" t="s">
        <v>200</v>
      </c>
      <c r="E220" s="55" t="str">
        <f t="shared" ref="E220:F220" si="499">E219</f>
        <v>HKL373</v>
      </c>
      <c r="F220" s="50">
        <f t="shared" si="499"/>
        <v>0.24</v>
      </c>
      <c r="G220" s="49" t="s">
        <v>221</v>
      </c>
      <c r="H220" s="64" t="s">
        <v>222</v>
      </c>
      <c r="I220" s="49">
        <f t="shared" ref="I220:J220" si="500">I219</f>
        <v>3</v>
      </c>
      <c r="J220" s="49" t="str">
        <f t="shared" si="500"/>
        <v>LT 2</v>
      </c>
      <c r="K220" s="84">
        <f>'HKL373'!Q26</f>
        <v>0</v>
      </c>
      <c r="L220" s="84">
        <f>'HKL373'!P26</f>
        <v>0</v>
      </c>
      <c r="M220" s="84">
        <f>'HKL373'!S26</f>
        <v>0</v>
      </c>
      <c r="N220" s="84">
        <f>'HKL373'!T26</f>
        <v>0</v>
      </c>
      <c r="O220" s="84">
        <f>'HKL373'!F26</f>
        <v>0</v>
      </c>
      <c r="P220" s="84" t="str">
        <f>'HKL373'!E26</f>
        <v>DISS</v>
      </c>
      <c r="Q220" s="84">
        <f t="shared" si="469"/>
        <v>1</v>
      </c>
      <c r="R220" s="84" t="e">
        <f t="shared" ref="R220:R221" si="501">(P220-O220)*Q220</f>
        <v>#VALUE!</v>
      </c>
      <c r="S220" s="84">
        <f>'HKL373'!K26</f>
        <v>0</v>
      </c>
      <c r="T220" s="84">
        <f>'HKL373'!J26</f>
        <v>0</v>
      </c>
      <c r="U220" s="84">
        <f t="shared" si="493"/>
        <v>1</v>
      </c>
      <c r="V220" s="84">
        <f t="shared" ref="V220:V221" si="502">(T220-S220)*U220</f>
        <v>0</v>
      </c>
      <c r="W220" s="84"/>
      <c r="X220" s="84"/>
      <c r="Y220" s="85">
        <f t="shared" ref="Y220:Y221" si="503">N220/30/I220</f>
        <v>0</v>
      </c>
      <c r="Z220" s="84"/>
      <c r="AA220" s="82"/>
    </row>
    <row r="221" spans="1:27" s="40" customFormat="1" ht="39.950000000000003" hidden="1" customHeight="1" x14ac:dyDescent="0.25">
      <c r="A221" s="49">
        <v>20</v>
      </c>
      <c r="B221" s="50" t="s">
        <v>43</v>
      </c>
      <c r="C221" s="56" t="str">
        <f t="shared" si="466"/>
        <v>HDKOTE/1714</v>
      </c>
      <c r="D221" s="51" t="s">
        <v>200</v>
      </c>
      <c r="E221" s="55" t="str">
        <f t="shared" ref="E221:F221" si="504">E220</f>
        <v>HKL373</v>
      </c>
      <c r="F221" s="50">
        <f t="shared" si="504"/>
        <v>0.24</v>
      </c>
      <c r="G221" s="49" t="s">
        <v>221</v>
      </c>
      <c r="H221" s="64" t="s">
        <v>222</v>
      </c>
      <c r="I221" s="49">
        <f t="shared" ref="I221:J221" si="505">I220</f>
        <v>3</v>
      </c>
      <c r="J221" s="49" t="str">
        <f t="shared" si="505"/>
        <v>LT 2</v>
      </c>
      <c r="K221" s="84">
        <f>'HKL373'!Q27</f>
        <v>0</v>
      </c>
      <c r="L221" s="84">
        <f>'HKL373'!P27</f>
        <v>0</v>
      </c>
      <c r="M221" s="84">
        <f>'HKL373'!S27</f>
        <v>0</v>
      </c>
      <c r="N221" s="84">
        <f>'HKL373'!T27</f>
        <v>0</v>
      </c>
      <c r="O221" s="84">
        <f>'HKL373'!F27</f>
        <v>0</v>
      </c>
      <c r="P221" s="84" t="str">
        <f>'HKL373'!E27</f>
        <v>DISS</v>
      </c>
      <c r="Q221" s="84">
        <f t="shared" si="469"/>
        <v>1</v>
      </c>
      <c r="R221" s="84" t="e">
        <f t="shared" si="501"/>
        <v>#VALUE!</v>
      </c>
      <c r="S221" s="84">
        <f>'HKL373'!K27</f>
        <v>0</v>
      </c>
      <c r="T221" s="84">
        <f>'HKL373'!J27</f>
        <v>0</v>
      </c>
      <c r="U221" s="84">
        <f t="shared" si="493"/>
        <v>1</v>
      </c>
      <c r="V221" s="84">
        <f t="shared" si="502"/>
        <v>0</v>
      </c>
      <c r="W221" s="84"/>
      <c r="X221" s="84"/>
      <c r="Y221" s="85">
        <f t="shared" si="503"/>
        <v>0</v>
      </c>
      <c r="Z221" s="84"/>
      <c r="AA221" s="82"/>
    </row>
    <row r="222" spans="1:27" s="40" customFormat="1" ht="39.950000000000003" hidden="1" customHeight="1" x14ac:dyDescent="0.25">
      <c r="A222" s="49">
        <v>21</v>
      </c>
      <c r="B222" s="50" t="s">
        <v>43</v>
      </c>
      <c r="C222" s="56" t="str">
        <f t="shared" si="466"/>
        <v>HDKOTE/1714</v>
      </c>
      <c r="D222" s="51" t="s">
        <v>200</v>
      </c>
      <c r="E222" s="55" t="str">
        <f t="shared" ref="E222:F225" si="506">E221</f>
        <v>HKL373</v>
      </c>
      <c r="F222" s="50">
        <f t="shared" si="506"/>
        <v>0.24</v>
      </c>
      <c r="G222" s="49" t="s">
        <v>221</v>
      </c>
      <c r="H222" s="64" t="s">
        <v>222</v>
      </c>
      <c r="I222" s="49">
        <f t="shared" ref="I222:J225" si="507">I221</f>
        <v>3</v>
      </c>
      <c r="J222" s="49" t="str">
        <f t="shared" si="507"/>
        <v>LT 2</v>
      </c>
      <c r="K222" s="84">
        <f>'HKL373'!Q28</f>
        <v>0</v>
      </c>
      <c r="L222" s="84">
        <f>'HKL373'!P28</f>
        <v>0</v>
      </c>
      <c r="M222" s="84">
        <f>'HKL373'!S78</f>
        <v>0</v>
      </c>
      <c r="N222" s="84">
        <f>'HKL373'!T28</f>
        <v>0</v>
      </c>
      <c r="O222" s="84">
        <f>'HKL373'!F28</f>
        <v>0</v>
      </c>
      <c r="P222" s="84" t="str">
        <f>'HKL373'!E28</f>
        <v>DISS</v>
      </c>
      <c r="Q222" s="84">
        <f t="shared" si="469"/>
        <v>1</v>
      </c>
      <c r="R222" s="84" t="e">
        <f t="shared" ref="R222" si="508">(P222-O222)*Q222</f>
        <v>#VALUE!</v>
      </c>
      <c r="S222" s="84">
        <f>'HKL373'!K28</f>
        <v>0</v>
      </c>
      <c r="T222" s="84">
        <f>'HKL373'!J28</f>
        <v>0</v>
      </c>
      <c r="U222" s="84">
        <f>'[1]April-18'!U32</f>
        <v>1</v>
      </c>
      <c r="V222" s="84">
        <f t="shared" si="473"/>
        <v>0</v>
      </c>
      <c r="W222" s="84"/>
      <c r="X222" s="84"/>
      <c r="Y222" s="85">
        <f t="shared" si="474"/>
        <v>0</v>
      </c>
      <c r="Z222" s="84"/>
      <c r="AA222" s="82"/>
    </row>
    <row r="223" spans="1:27" s="40" customFormat="1" ht="39.950000000000003" hidden="1" customHeight="1" x14ac:dyDescent="0.25">
      <c r="A223" s="49">
        <v>22</v>
      </c>
      <c r="B223" s="50" t="s">
        <v>43</v>
      </c>
      <c r="C223" s="56" t="str">
        <f t="shared" si="466"/>
        <v>HDKOTE/1714</v>
      </c>
      <c r="D223" s="51" t="s">
        <v>200</v>
      </c>
      <c r="E223" s="55" t="str">
        <f t="shared" si="506"/>
        <v>HKL373</v>
      </c>
      <c r="F223" s="50">
        <f t="shared" si="506"/>
        <v>0.24</v>
      </c>
      <c r="G223" s="49" t="s">
        <v>221</v>
      </c>
      <c r="H223" s="64" t="s">
        <v>222</v>
      </c>
      <c r="I223" s="49">
        <f t="shared" si="507"/>
        <v>3</v>
      </c>
      <c r="J223" s="49" t="str">
        <f t="shared" si="507"/>
        <v>LT 2</v>
      </c>
      <c r="K223" s="84">
        <f>'HKL373'!Q29</f>
        <v>0</v>
      </c>
      <c r="L223" s="84">
        <f>'HKL373'!P29</f>
        <v>0</v>
      </c>
      <c r="M223" s="84">
        <f>'HKL373'!S79</f>
        <v>0</v>
      </c>
      <c r="N223" s="84">
        <f>'HKL373'!T29</f>
        <v>0</v>
      </c>
      <c r="O223" s="84">
        <f>'HKL373'!F29</f>
        <v>0</v>
      </c>
      <c r="P223" s="84" t="str">
        <f>'HKL373'!E29</f>
        <v>DISS</v>
      </c>
      <c r="Q223" s="84">
        <f t="shared" si="469"/>
        <v>1</v>
      </c>
      <c r="R223" s="84" t="e">
        <f t="shared" ref="R223" si="509">(P223-O223)*Q223</f>
        <v>#VALUE!</v>
      </c>
      <c r="S223" s="84">
        <f>'HKL373'!K29</f>
        <v>0</v>
      </c>
      <c r="T223" s="84">
        <f>'HKL373'!J29</f>
        <v>0</v>
      </c>
      <c r="U223" s="84">
        <f>U222</f>
        <v>1</v>
      </c>
      <c r="V223" s="84">
        <f t="shared" ref="V223" si="510">(T223-S223)*U223</f>
        <v>0</v>
      </c>
      <c r="W223" s="84"/>
      <c r="X223" s="84"/>
      <c r="Y223" s="85">
        <f t="shared" ref="Y223" si="511">N223/30/I223</f>
        <v>0</v>
      </c>
      <c r="Z223" s="84"/>
      <c r="AA223" s="82"/>
    </row>
    <row r="224" spans="1:27" s="40" customFormat="1" ht="39.950000000000003" hidden="1" customHeight="1" x14ac:dyDescent="0.25">
      <c r="A224" s="49">
        <v>23</v>
      </c>
      <c r="B224" s="50" t="s">
        <v>43</v>
      </c>
      <c r="C224" s="56" t="str">
        <f t="shared" si="466"/>
        <v>HDKOTE/1714</v>
      </c>
      <c r="D224" s="51" t="s">
        <v>200</v>
      </c>
      <c r="E224" s="55" t="str">
        <f t="shared" ref="E224:F224" si="512">E223</f>
        <v>HKL373</v>
      </c>
      <c r="F224" s="50">
        <f t="shared" si="512"/>
        <v>0.24</v>
      </c>
      <c r="G224" s="49" t="s">
        <v>221</v>
      </c>
      <c r="H224" s="64" t="s">
        <v>222</v>
      </c>
      <c r="I224" s="49">
        <f t="shared" ref="I224:J224" si="513">I223</f>
        <v>3</v>
      </c>
      <c r="J224" s="49" t="str">
        <f t="shared" si="513"/>
        <v>LT 2</v>
      </c>
      <c r="K224" s="84">
        <f>'HKL373'!Q80</f>
        <v>0</v>
      </c>
      <c r="L224" s="84">
        <f>'HKL373'!P80</f>
        <v>0</v>
      </c>
      <c r="M224" s="84">
        <f>'HKL373'!S80</f>
        <v>0</v>
      </c>
      <c r="N224" s="84">
        <f>'HKL373'!T80</f>
        <v>0</v>
      </c>
      <c r="O224" s="84">
        <f>'HKL373'!F80</f>
        <v>0</v>
      </c>
      <c r="P224" s="84" t="str">
        <f>'HKL373'!E31</f>
        <v>DISS</v>
      </c>
      <c r="Q224" s="84">
        <f t="shared" si="469"/>
        <v>1</v>
      </c>
      <c r="R224" s="84" t="e">
        <f t="shared" si="472"/>
        <v>#VALUE!</v>
      </c>
      <c r="S224" s="84">
        <f>'HKL373'!K80</f>
        <v>0</v>
      </c>
      <c r="T224" s="84">
        <f>'HKL373'!J80</f>
        <v>0</v>
      </c>
      <c r="U224" s="84">
        <f>'[1]April-18'!U34</f>
        <v>1</v>
      </c>
      <c r="V224" s="84">
        <f t="shared" si="473"/>
        <v>0</v>
      </c>
      <c r="W224" s="84"/>
      <c r="X224" s="84"/>
      <c r="Y224" s="85">
        <f t="shared" si="474"/>
        <v>0</v>
      </c>
      <c r="Z224" s="84"/>
      <c r="AA224" s="82"/>
    </row>
    <row r="225" spans="1:27" s="40" customFormat="1" ht="39.950000000000003" hidden="1" customHeight="1" x14ac:dyDescent="0.25">
      <c r="A225" s="49">
        <v>24</v>
      </c>
      <c r="B225" s="50" t="s">
        <v>43</v>
      </c>
      <c r="C225" s="56" t="str">
        <f t="shared" si="466"/>
        <v>HDKOTE/1714</v>
      </c>
      <c r="D225" s="51" t="s">
        <v>200</v>
      </c>
      <c r="E225" s="55" t="str">
        <f t="shared" si="506"/>
        <v>HKL373</v>
      </c>
      <c r="F225" s="50">
        <f t="shared" si="506"/>
        <v>0.24</v>
      </c>
      <c r="G225" s="49" t="s">
        <v>221</v>
      </c>
      <c r="H225" s="64" t="s">
        <v>222</v>
      </c>
      <c r="I225" s="49">
        <f t="shared" si="507"/>
        <v>3</v>
      </c>
      <c r="J225" s="49" t="str">
        <f t="shared" si="507"/>
        <v>LT 2</v>
      </c>
      <c r="K225" s="84">
        <f>'HKL373'!Q32</f>
        <v>0</v>
      </c>
      <c r="L225" s="84">
        <f>'HKL373'!P32</f>
        <v>0</v>
      </c>
      <c r="M225" s="84">
        <f>'HKL373'!S81</f>
        <v>0</v>
      </c>
      <c r="N225" s="84">
        <f>'HKL373'!T32</f>
        <v>0</v>
      </c>
      <c r="O225" s="84">
        <f>'HKL373'!F32</f>
        <v>0</v>
      </c>
      <c r="P225" s="84" t="str">
        <f>'HKL373'!E32</f>
        <v>DISS</v>
      </c>
      <c r="Q225" s="84">
        <f t="shared" si="469"/>
        <v>1</v>
      </c>
      <c r="R225" s="84" t="e">
        <f t="shared" si="472"/>
        <v>#VALUE!</v>
      </c>
      <c r="S225" s="84">
        <f>'HKL373'!K32</f>
        <v>0</v>
      </c>
      <c r="T225" s="84">
        <f>'HKL373'!J32</f>
        <v>0</v>
      </c>
      <c r="U225" s="84">
        <f>'[1]April-18'!U35</f>
        <v>1</v>
      </c>
      <c r="V225" s="84">
        <f t="shared" ref="V225:V226" si="514">(T225-S225)*U225</f>
        <v>0</v>
      </c>
      <c r="W225" s="84"/>
      <c r="X225" s="84"/>
      <c r="Y225" s="85">
        <f t="shared" ref="Y225:Y226" si="515">N225/30/I225</f>
        <v>0</v>
      </c>
      <c r="Z225" s="84"/>
      <c r="AA225" s="82"/>
    </row>
    <row r="226" spans="1:27" s="40" customFormat="1" ht="39.950000000000003" hidden="1" customHeight="1" x14ac:dyDescent="0.25">
      <c r="A226" s="49">
        <v>25</v>
      </c>
      <c r="B226" s="50" t="s">
        <v>43</v>
      </c>
      <c r="C226" s="56" t="str">
        <f t="shared" si="466"/>
        <v>HDKOTE/1714</v>
      </c>
      <c r="D226" s="51" t="s">
        <v>200</v>
      </c>
      <c r="E226" s="55" t="str">
        <f t="shared" ref="E226:F226" si="516">E225</f>
        <v>HKL373</v>
      </c>
      <c r="F226" s="50">
        <f t="shared" si="516"/>
        <v>0.24</v>
      </c>
      <c r="G226" s="49" t="s">
        <v>221</v>
      </c>
      <c r="H226" s="64" t="s">
        <v>222</v>
      </c>
      <c r="I226" s="49">
        <f t="shared" ref="I226:J226" si="517">I225</f>
        <v>3</v>
      </c>
      <c r="J226" s="49" t="str">
        <f t="shared" si="517"/>
        <v>LT 2</v>
      </c>
      <c r="K226" s="84">
        <f>'HKL373'!Q82</f>
        <v>0</v>
      </c>
      <c r="L226" s="84">
        <f>'HKL373'!P82</f>
        <v>0</v>
      </c>
      <c r="M226" s="84">
        <f>'HKL373'!S82</f>
        <v>0</v>
      </c>
      <c r="N226" s="84">
        <f>'HKL373'!T82</f>
        <v>0</v>
      </c>
      <c r="O226" s="84">
        <f>'HKL373'!F82</f>
        <v>0</v>
      </c>
      <c r="P226" s="84" t="str">
        <f>'HKL373'!E33</f>
        <v>DISS</v>
      </c>
      <c r="Q226" s="84">
        <f t="shared" si="469"/>
        <v>1</v>
      </c>
      <c r="R226" s="84" t="e">
        <f t="shared" ref="R226:R230" si="518">(P226-O226)*Q226</f>
        <v>#VALUE!</v>
      </c>
      <c r="S226" s="84">
        <f>'HKL373'!K82</f>
        <v>0</v>
      </c>
      <c r="T226" s="84">
        <f>'HKL373'!J82</f>
        <v>0</v>
      </c>
      <c r="U226" s="84">
        <f>'[1]April-18'!U36</f>
        <v>1</v>
      </c>
      <c r="V226" s="84">
        <f t="shared" si="514"/>
        <v>0</v>
      </c>
      <c r="W226" s="84"/>
      <c r="X226" s="84"/>
      <c r="Y226" s="85">
        <f t="shared" si="515"/>
        <v>0</v>
      </c>
      <c r="Z226" s="84"/>
      <c r="AA226" s="82"/>
    </row>
    <row r="227" spans="1:27" s="40" customFormat="1" ht="39.950000000000003" hidden="1" customHeight="1" x14ac:dyDescent="0.25">
      <c r="A227" s="49">
        <v>26</v>
      </c>
      <c r="B227" s="50" t="s">
        <v>43</v>
      </c>
      <c r="C227" s="56" t="str">
        <f t="shared" si="466"/>
        <v>HDKOTE/1714</v>
      </c>
      <c r="D227" s="51" t="s">
        <v>200</v>
      </c>
      <c r="E227" s="55" t="str">
        <f t="shared" ref="E227:F227" si="519">E226</f>
        <v>HKL373</v>
      </c>
      <c r="F227" s="50">
        <f t="shared" si="519"/>
        <v>0.24</v>
      </c>
      <c r="G227" s="49" t="s">
        <v>221</v>
      </c>
      <c r="H227" s="64" t="s">
        <v>222</v>
      </c>
      <c r="I227" s="49">
        <f t="shared" ref="I227:J227" si="520">I226</f>
        <v>3</v>
      </c>
      <c r="J227" s="49" t="str">
        <f t="shared" si="520"/>
        <v>LT 2</v>
      </c>
      <c r="K227" s="84">
        <f>'HKL373'!Q34</f>
        <v>0</v>
      </c>
      <c r="L227" s="84">
        <f>'HKL373'!P34</f>
        <v>0</v>
      </c>
      <c r="M227" s="84">
        <f>'HKL373'!S83</f>
        <v>0</v>
      </c>
      <c r="N227" s="84">
        <f>'HKL373'!T34</f>
        <v>0</v>
      </c>
      <c r="O227" s="84">
        <f>'HKL373'!F34</f>
        <v>0</v>
      </c>
      <c r="P227" s="84" t="str">
        <f>'HKL373'!E34</f>
        <v>DISS</v>
      </c>
      <c r="Q227" s="84">
        <f t="shared" si="469"/>
        <v>1</v>
      </c>
      <c r="R227" s="84" t="e">
        <f t="shared" si="518"/>
        <v>#VALUE!</v>
      </c>
      <c r="S227" s="84">
        <f>'HKL373'!K34</f>
        <v>0</v>
      </c>
      <c r="T227" s="84">
        <f>'HKL373'!J34</f>
        <v>0</v>
      </c>
      <c r="U227" s="84">
        <f>U226</f>
        <v>1</v>
      </c>
      <c r="V227" s="84">
        <f t="shared" ref="V227:V232" si="521">(T227-S227)*U227</f>
        <v>0</v>
      </c>
      <c r="W227" s="84"/>
      <c r="X227" s="84"/>
      <c r="Y227" s="85">
        <f t="shared" ref="Y227:Y232" si="522">N227/30/I227</f>
        <v>0</v>
      </c>
      <c r="Z227" s="84"/>
      <c r="AA227" s="82"/>
    </row>
    <row r="228" spans="1:27" s="40" customFormat="1" ht="39.950000000000003" hidden="1" customHeight="1" x14ac:dyDescent="0.25">
      <c r="A228" s="49">
        <v>27</v>
      </c>
      <c r="B228" s="50" t="s">
        <v>43</v>
      </c>
      <c r="C228" s="56" t="str">
        <f t="shared" si="466"/>
        <v>HDKOTE/1714</v>
      </c>
      <c r="D228" s="51" t="s">
        <v>200</v>
      </c>
      <c r="E228" s="55" t="str">
        <f t="shared" ref="E228:F228" si="523">E227</f>
        <v>HKL373</v>
      </c>
      <c r="F228" s="50">
        <f t="shared" si="523"/>
        <v>0.24</v>
      </c>
      <c r="G228" s="49" t="s">
        <v>221</v>
      </c>
      <c r="H228" s="64" t="s">
        <v>222</v>
      </c>
      <c r="I228" s="49">
        <f t="shared" ref="I228:J228" si="524">I227</f>
        <v>3</v>
      </c>
      <c r="J228" s="49" t="str">
        <f t="shared" si="524"/>
        <v>LT 2</v>
      </c>
      <c r="K228" s="84">
        <f>'HKL373'!Q35</f>
        <v>0</v>
      </c>
      <c r="L228" s="84">
        <f>'HKL373'!P35</f>
        <v>0</v>
      </c>
      <c r="M228" s="84">
        <f>'HKL373'!S84</f>
        <v>0</v>
      </c>
      <c r="N228" s="84">
        <f>'HKL373'!T35</f>
        <v>0</v>
      </c>
      <c r="O228" s="84">
        <f>'HKL373'!F35</f>
        <v>0</v>
      </c>
      <c r="P228" s="84" t="str">
        <f>'HKL373'!E35</f>
        <v>DISS</v>
      </c>
      <c r="Q228" s="84">
        <f t="shared" si="469"/>
        <v>1</v>
      </c>
      <c r="R228" s="84" t="e">
        <f t="shared" si="518"/>
        <v>#VALUE!</v>
      </c>
      <c r="S228" s="84">
        <f>'HKL373'!K35</f>
        <v>0</v>
      </c>
      <c r="T228" s="84">
        <f>'HKL373'!J35</f>
        <v>0</v>
      </c>
      <c r="U228" s="84" t="e">
        <f>'[1]April-18'!U38</f>
        <v>#REF!</v>
      </c>
      <c r="V228" s="84" t="e">
        <f t="shared" si="521"/>
        <v>#REF!</v>
      </c>
      <c r="W228" s="84"/>
      <c r="X228" s="84"/>
      <c r="Y228" s="85">
        <f t="shared" si="522"/>
        <v>0</v>
      </c>
      <c r="Z228" s="84"/>
      <c r="AA228" s="82"/>
    </row>
    <row r="229" spans="1:27" s="40" customFormat="1" ht="39.950000000000003" hidden="1" customHeight="1" x14ac:dyDescent="0.25">
      <c r="A229" s="49">
        <v>28</v>
      </c>
      <c r="B229" s="50" t="s">
        <v>43</v>
      </c>
      <c r="C229" s="56" t="str">
        <f t="shared" si="466"/>
        <v>HDKOTE/1714</v>
      </c>
      <c r="D229" s="51" t="s">
        <v>200</v>
      </c>
      <c r="E229" s="55" t="str">
        <f t="shared" ref="E229:F231" si="525">E228</f>
        <v>HKL373</v>
      </c>
      <c r="F229" s="50">
        <f t="shared" si="525"/>
        <v>0.24</v>
      </c>
      <c r="G229" s="49" t="s">
        <v>221</v>
      </c>
      <c r="H229" s="64" t="s">
        <v>222</v>
      </c>
      <c r="I229" s="49">
        <f t="shared" ref="I229:J231" si="526">I228</f>
        <v>3</v>
      </c>
      <c r="J229" s="49" t="str">
        <f t="shared" si="526"/>
        <v>LT 2</v>
      </c>
      <c r="K229" s="84">
        <f>'HKL373'!Q36</f>
        <v>0</v>
      </c>
      <c r="L229" s="84">
        <f>'HKL373'!P36</f>
        <v>0</v>
      </c>
      <c r="M229" s="84">
        <f>'HKL373'!S85</f>
        <v>0</v>
      </c>
      <c r="N229" s="84">
        <f>'HKL373'!T36</f>
        <v>0</v>
      </c>
      <c r="O229" s="84">
        <f>'HKL373'!F36</f>
        <v>0</v>
      </c>
      <c r="P229" s="84" t="str">
        <f>'HKL373'!E36</f>
        <v>DISS</v>
      </c>
      <c r="Q229" s="84">
        <f t="shared" si="469"/>
        <v>1</v>
      </c>
      <c r="R229" s="84" t="e">
        <f t="shared" si="518"/>
        <v>#VALUE!</v>
      </c>
      <c r="S229" s="84">
        <f>'HKL373'!K36</f>
        <v>0</v>
      </c>
      <c r="T229" s="84">
        <f>'HKL373'!J36</f>
        <v>0</v>
      </c>
      <c r="U229" s="84" t="e">
        <f t="shared" ref="U229:U231" si="527">U228</f>
        <v>#REF!</v>
      </c>
      <c r="V229" s="84" t="e">
        <f t="shared" si="521"/>
        <v>#REF!</v>
      </c>
      <c r="W229" s="84"/>
      <c r="X229" s="84"/>
      <c r="Y229" s="85">
        <f t="shared" si="522"/>
        <v>0</v>
      </c>
      <c r="Z229" s="84"/>
      <c r="AA229" s="82"/>
    </row>
    <row r="230" spans="1:27" s="40" customFormat="1" ht="39.950000000000003" hidden="1" customHeight="1" x14ac:dyDescent="0.25">
      <c r="A230" s="49">
        <v>29</v>
      </c>
      <c r="B230" s="50" t="s">
        <v>43</v>
      </c>
      <c r="C230" s="56" t="str">
        <f t="shared" si="466"/>
        <v>HDKOTE/1714</v>
      </c>
      <c r="D230" s="51" t="s">
        <v>200</v>
      </c>
      <c r="E230" s="55" t="str">
        <f t="shared" ref="E230:F230" si="528">E229</f>
        <v>HKL373</v>
      </c>
      <c r="F230" s="50">
        <f t="shared" si="528"/>
        <v>0.24</v>
      </c>
      <c r="G230" s="49" t="s">
        <v>221</v>
      </c>
      <c r="H230" s="64" t="s">
        <v>222</v>
      </c>
      <c r="I230" s="49">
        <f t="shared" ref="I230:J230" si="529">I229</f>
        <v>3</v>
      </c>
      <c r="J230" s="49" t="str">
        <f t="shared" si="529"/>
        <v>LT 2</v>
      </c>
      <c r="K230" s="84">
        <f>'HKL373'!Q86</f>
        <v>0</v>
      </c>
      <c r="L230" s="84">
        <f>'HKL373'!P86</f>
        <v>0</v>
      </c>
      <c r="M230" s="84">
        <f>'HKL373'!S86</f>
        <v>0</v>
      </c>
      <c r="N230" s="84">
        <f>'HKL373'!T86</f>
        <v>0</v>
      </c>
      <c r="O230" s="84">
        <f>'HKL373'!F86</f>
        <v>0</v>
      </c>
      <c r="P230" s="84" t="str">
        <f>'HKL373'!E37</f>
        <v>DL</v>
      </c>
      <c r="Q230" s="84">
        <f t="shared" si="469"/>
        <v>1</v>
      </c>
      <c r="R230" s="84" t="e">
        <f t="shared" si="518"/>
        <v>#VALUE!</v>
      </c>
      <c r="S230" s="84">
        <f>'HKL373'!K86</f>
        <v>0</v>
      </c>
      <c r="T230" s="84">
        <f>'HKL373'!J86</f>
        <v>0</v>
      </c>
      <c r="U230" s="84" t="e">
        <f>'[1]April-18'!U40</f>
        <v>#REF!</v>
      </c>
      <c r="V230" s="84" t="e">
        <f t="shared" si="521"/>
        <v>#REF!</v>
      </c>
      <c r="W230" s="84">
        <f>'HKL373'!U37</f>
        <v>0</v>
      </c>
      <c r="X230" s="84">
        <f>'HKL373'!V37</f>
        <v>0</v>
      </c>
      <c r="Y230" s="85">
        <f t="shared" si="522"/>
        <v>0</v>
      </c>
      <c r="Z230" s="84"/>
      <c r="AA230" s="82"/>
    </row>
    <row r="231" spans="1:27" s="40" customFormat="1" ht="39.950000000000003" customHeight="1" x14ac:dyDescent="0.25">
      <c r="A231" s="49">
        <v>30</v>
      </c>
      <c r="B231" s="50" t="s">
        <v>43</v>
      </c>
      <c r="C231" s="56" t="str">
        <f t="shared" si="466"/>
        <v>HDKOTE/1714</v>
      </c>
      <c r="D231" s="51" t="s">
        <v>200</v>
      </c>
      <c r="E231" s="55" t="str">
        <f t="shared" si="525"/>
        <v>HKL373</v>
      </c>
      <c r="F231" s="50">
        <f t="shared" si="525"/>
        <v>0.24</v>
      </c>
      <c r="G231" s="49" t="s">
        <v>221</v>
      </c>
      <c r="H231" s="64" t="s">
        <v>222</v>
      </c>
      <c r="I231" s="49">
        <f t="shared" si="526"/>
        <v>3</v>
      </c>
      <c r="J231" s="49" t="str">
        <f t="shared" si="526"/>
        <v>LT 2</v>
      </c>
      <c r="K231" s="84">
        <f>'HKL373'!Q38</f>
        <v>0</v>
      </c>
      <c r="L231" s="84">
        <f>'HKL373'!P38</f>
        <v>0</v>
      </c>
      <c r="M231" s="84">
        <f>'HKL373'!S87</f>
        <v>0</v>
      </c>
      <c r="N231" s="84">
        <f>'HKL373'!T38</f>
        <v>0</v>
      </c>
      <c r="O231" s="84">
        <f>'HKL373'!F38</f>
        <v>0</v>
      </c>
      <c r="P231" s="84" t="str">
        <f>'HKL373'!E38</f>
        <v>DL</v>
      </c>
      <c r="Q231" s="84">
        <f t="shared" si="469"/>
        <v>1</v>
      </c>
      <c r="R231" s="84" t="e">
        <f t="shared" ref="R231" si="530">(P231-O231)*Q231</f>
        <v>#VALUE!</v>
      </c>
      <c r="S231" s="84">
        <f>'HKL373'!K38</f>
        <v>0</v>
      </c>
      <c r="T231" s="84">
        <f>'HKL373'!J38</f>
        <v>0</v>
      </c>
      <c r="U231" s="84" t="e">
        <f t="shared" si="527"/>
        <v>#REF!</v>
      </c>
      <c r="V231" s="84" t="e">
        <f t="shared" ref="V231" si="531">(T231-S231)*U231</f>
        <v>#REF!</v>
      </c>
      <c r="W231" s="84"/>
      <c r="X231" s="84"/>
      <c r="Y231" s="85">
        <f t="shared" si="522"/>
        <v>0</v>
      </c>
      <c r="Z231" s="84"/>
      <c r="AA231" s="82"/>
    </row>
    <row r="232" spans="1:27" s="40" customFormat="1" ht="39.950000000000003" hidden="1" customHeight="1" x14ac:dyDescent="0.25">
      <c r="A232" s="49">
        <v>31</v>
      </c>
      <c r="B232" s="50" t="s">
        <v>43</v>
      </c>
      <c r="C232" s="56" t="str">
        <f t="shared" si="466"/>
        <v>HDKOTE/1714</v>
      </c>
      <c r="D232" s="51" t="s">
        <v>200</v>
      </c>
      <c r="E232" s="55" t="str">
        <f t="shared" ref="E232:F232" si="532">E231</f>
        <v>HKL373</v>
      </c>
      <c r="F232" s="50">
        <f t="shared" si="532"/>
        <v>0.24</v>
      </c>
      <c r="G232" s="49" t="s">
        <v>221</v>
      </c>
      <c r="H232" s="64" t="s">
        <v>222</v>
      </c>
      <c r="I232" s="49">
        <f t="shared" ref="I232:J232" si="533">I231</f>
        <v>3</v>
      </c>
      <c r="J232" s="49" t="str">
        <f t="shared" si="533"/>
        <v>LT 2</v>
      </c>
      <c r="K232" s="84">
        <f>'HKL373'!Q88</f>
        <v>0</v>
      </c>
      <c r="L232" s="84">
        <f>'HKL373'!P88</f>
        <v>0</v>
      </c>
      <c r="M232" s="84">
        <f>'HKL373'!S88</f>
        <v>0</v>
      </c>
      <c r="N232" s="84">
        <f>'HKL373'!T88</f>
        <v>0</v>
      </c>
      <c r="O232" s="84">
        <f>'HKL373'!F88</f>
        <v>0</v>
      </c>
      <c r="P232" s="84">
        <f>'HKL373'!E39</f>
        <v>352.1</v>
      </c>
      <c r="Q232" s="84">
        <f t="shared" si="469"/>
        <v>1</v>
      </c>
      <c r="R232" s="84">
        <f t="shared" ref="R232:R234" si="534">(P232-O232)*Q232</f>
        <v>352.1</v>
      </c>
      <c r="S232" s="84">
        <f>'HKL373'!K88</f>
        <v>0</v>
      </c>
      <c r="T232" s="84">
        <f>'HKL373'!J88</f>
        <v>0</v>
      </c>
      <c r="U232" s="84" t="e">
        <f>'[1]April-18'!U42</f>
        <v>#REF!</v>
      </c>
      <c r="V232" s="84" t="e">
        <f t="shared" si="521"/>
        <v>#REF!</v>
      </c>
      <c r="W232" s="84"/>
      <c r="X232" s="84"/>
      <c r="Y232" s="85">
        <f t="shared" si="522"/>
        <v>0</v>
      </c>
      <c r="Z232" s="84"/>
      <c r="AA232" s="82"/>
    </row>
    <row r="233" spans="1:27" s="40" customFormat="1" ht="39.950000000000003" hidden="1" customHeight="1" x14ac:dyDescent="0.25">
      <c r="A233" s="49">
        <v>32</v>
      </c>
      <c r="B233" s="50" t="s">
        <v>43</v>
      </c>
      <c r="C233" s="56" t="str">
        <f t="shared" si="466"/>
        <v>HDKOTE/1714</v>
      </c>
      <c r="D233" s="51" t="s">
        <v>200</v>
      </c>
      <c r="E233" s="55" t="str">
        <f t="shared" ref="E233:F233" si="535">E232</f>
        <v>HKL373</v>
      </c>
      <c r="F233" s="50">
        <f t="shared" si="535"/>
        <v>0.24</v>
      </c>
      <c r="G233" s="49" t="s">
        <v>221</v>
      </c>
      <c r="H233" s="64" t="s">
        <v>222</v>
      </c>
      <c r="I233" s="49">
        <f t="shared" ref="I233:J233" si="536">I232</f>
        <v>3</v>
      </c>
      <c r="J233" s="49" t="str">
        <f t="shared" si="536"/>
        <v>LT 2</v>
      </c>
      <c r="K233" s="84">
        <f>'HKL373'!Q76</f>
        <v>0</v>
      </c>
      <c r="L233" s="84">
        <f>'HKL373'!P76</f>
        <v>0</v>
      </c>
      <c r="M233" s="84">
        <f>'HKL373'!S89</f>
        <v>0</v>
      </c>
      <c r="N233" s="84">
        <f>'HKL373'!T76</f>
        <v>0</v>
      </c>
      <c r="O233" s="84">
        <f>'HKL373'!F76</f>
        <v>0</v>
      </c>
      <c r="P233" s="84">
        <f>'HKL373'!E76</f>
        <v>0</v>
      </c>
      <c r="Q233" s="84">
        <f t="shared" si="469"/>
        <v>1</v>
      </c>
      <c r="R233" s="84">
        <f t="shared" si="534"/>
        <v>0</v>
      </c>
      <c r="S233" s="84">
        <f>'HKL373'!K76</f>
        <v>0</v>
      </c>
      <c r="T233" s="84">
        <f>'HKL373'!J76</f>
        <v>0</v>
      </c>
      <c r="U233" s="84" t="e">
        <f t="shared" ref="U233" si="537">U232</f>
        <v>#REF!</v>
      </c>
      <c r="V233" s="84" t="e">
        <f t="shared" ref="V233:V234" si="538">(T233-S233)*U233</f>
        <v>#REF!</v>
      </c>
      <c r="W233" s="84"/>
      <c r="X233" s="84"/>
      <c r="Y233" s="85">
        <f t="shared" ref="Y233:Y234" si="539">N233/30/I233</f>
        <v>0</v>
      </c>
      <c r="Z233" s="84"/>
      <c r="AA233" s="82"/>
    </row>
    <row r="234" spans="1:27" s="40" customFormat="1" ht="39.950000000000003" hidden="1" customHeight="1" x14ac:dyDescent="0.25">
      <c r="A234" s="49">
        <v>33</v>
      </c>
      <c r="B234" s="50" t="s">
        <v>43</v>
      </c>
      <c r="C234" s="56" t="str">
        <f t="shared" si="466"/>
        <v>HDKOTE/1714</v>
      </c>
      <c r="D234" s="51" t="s">
        <v>200</v>
      </c>
      <c r="E234" s="55" t="str">
        <f t="shared" ref="E234:F234" si="540">E233</f>
        <v>HKL373</v>
      </c>
      <c r="F234" s="50">
        <f t="shared" si="540"/>
        <v>0.24</v>
      </c>
      <c r="G234" s="49" t="s">
        <v>221</v>
      </c>
      <c r="H234" s="64" t="s">
        <v>222</v>
      </c>
      <c r="I234" s="49">
        <f t="shared" ref="I234:J234" si="541">I233</f>
        <v>3</v>
      </c>
      <c r="J234" s="49" t="str">
        <f t="shared" si="541"/>
        <v>LT 2</v>
      </c>
      <c r="K234" s="84">
        <f>'HKL373'!Q77</f>
        <v>0</v>
      </c>
      <c r="L234" s="84">
        <f>'HKL373'!P77</f>
        <v>0</v>
      </c>
      <c r="M234" s="84">
        <f>'HKL373'!S90</f>
        <v>0</v>
      </c>
      <c r="N234" s="84">
        <f>'HKL373'!T77</f>
        <v>0</v>
      </c>
      <c r="O234" s="84">
        <f>'HKL373'!F77</f>
        <v>0</v>
      </c>
      <c r="P234" s="84">
        <f>'HKL373'!E77</f>
        <v>0</v>
      </c>
      <c r="Q234" s="84">
        <f t="shared" si="469"/>
        <v>1</v>
      </c>
      <c r="R234" s="84">
        <f t="shared" si="534"/>
        <v>0</v>
      </c>
      <c r="S234" s="84">
        <f>'HKL373'!K77</f>
        <v>0</v>
      </c>
      <c r="T234" s="84">
        <f>'HKL373'!J77</f>
        <v>0</v>
      </c>
      <c r="U234" s="84" t="e">
        <f>'[1]April-18'!U44</f>
        <v>#REF!</v>
      </c>
      <c r="V234" s="84" t="e">
        <f t="shared" si="538"/>
        <v>#REF!</v>
      </c>
      <c r="W234" s="84"/>
      <c r="X234" s="84"/>
      <c r="Y234" s="85">
        <f t="shared" si="539"/>
        <v>0</v>
      </c>
      <c r="Z234" s="84"/>
      <c r="AA234" s="82"/>
    </row>
    <row r="235" spans="1:27" s="40" customFormat="1" ht="39.950000000000003" hidden="1" customHeight="1" x14ac:dyDescent="0.25">
      <c r="A235" s="49"/>
      <c r="B235" s="50"/>
      <c r="C235" s="56"/>
      <c r="D235" s="51"/>
      <c r="E235" s="55"/>
      <c r="F235" s="50"/>
      <c r="G235" s="49"/>
      <c r="H235" s="64"/>
      <c r="I235" s="49"/>
      <c r="J235" s="49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5"/>
      <c r="Z235" s="84"/>
      <c r="AA235" s="82"/>
    </row>
    <row r="236" spans="1:27" s="40" customFormat="1" ht="39.950000000000003" hidden="1" customHeight="1" x14ac:dyDescent="0.25">
      <c r="A236" s="49"/>
      <c r="B236" s="50"/>
      <c r="C236" s="56"/>
      <c r="D236" s="51"/>
      <c r="E236" s="55"/>
      <c r="F236" s="50"/>
      <c r="G236" s="49"/>
      <c r="H236" s="64"/>
      <c r="I236" s="49"/>
      <c r="J236" s="49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5"/>
      <c r="Z236" s="84"/>
      <c r="AA236" s="82"/>
    </row>
    <row r="237" spans="1:27" s="40" customFormat="1" ht="39.950000000000003" hidden="1" customHeight="1" x14ac:dyDescent="0.25">
      <c r="A237" s="49">
        <v>1</v>
      </c>
      <c r="B237" s="50" t="s">
        <v>43</v>
      </c>
      <c r="C237" s="56" t="s">
        <v>229</v>
      </c>
      <c r="D237" s="51" t="s">
        <v>161</v>
      </c>
      <c r="E237" s="55" t="s">
        <v>163</v>
      </c>
      <c r="F237" s="50">
        <v>0.24</v>
      </c>
      <c r="G237" s="49" t="s">
        <v>221</v>
      </c>
      <c r="H237" s="64" t="s">
        <v>222</v>
      </c>
      <c r="I237" s="49">
        <v>3</v>
      </c>
      <c r="J237" s="49" t="s">
        <v>223</v>
      </c>
      <c r="K237" s="84">
        <f>'HKL77'!Q8</f>
        <v>454.2</v>
      </c>
      <c r="L237" s="84">
        <f>'HKL77'!P8</f>
        <v>718.7</v>
      </c>
      <c r="M237" s="84">
        <f>'[1]April-18'!M13</f>
        <v>1</v>
      </c>
      <c r="N237" s="84">
        <f t="shared" si="0"/>
        <v>264.50000000000006</v>
      </c>
      <c r="O237" s="84">
        <f>'HKL77'!F8</f>
        <v>7.5</v>
      </c>
      <c r="P237" s="84">
        <f>'HKL77'!E8</f>
        <v>21.3</v>
      </c>
      <c r="Q237" s="84">
        <v>1</v>
      </c>
      <c r="R237" s="84">
        <f t="shared" si="7"/>
        <v>13.8</v>
      </c>
      <c r="S237" s="84">
        <f>'HKL77'!K8</f>
        <v>250.2</v>
      </c>
      <c r="T237" s="84">
        <f>'HKL77'!J8</f>
        <v>525.20000000000005</v>
      </c>
      <c r="U237" s="84">
        <f>'[1]April-18'!U13</f>
        <v>1</v>
      </c>
      <c r="V237" s="84">
        <f t="shared" si="8"/>
        <v>275.00000000000006</v>
      </c>
      <c r="W237" s="84"/>
      <c r="X237" s="84"/>
      <c r="Y237" s="85">
        <f t="shared" si="87"/>
        <v>2.9388888888888896</v>
      </c>
      <c r="Z237" s="84"/>
      <c r="AA237" s="82" t="str">
        <f>'HKL77'!B8</f>
        <v>01.08.2019</v>
      </c>
    </row>
    <row r="238" spans="1:27" s="40" customFormat="1" ht="39.950000000000003" hidden="1" customHeight="1" x14ac:dyDescent="0.25">
      <c r="A238" s="49">
        <v>2</v>
      </c>
      <c r="B238" s="50" t="s">
        <v>43</v>
      </c>
      <c r="C238" s="56" t="str">
        <f>C237</f>
        <v>HDKOTE/1714</v>
      </c>
      <c r="D238" s="51" t="s">
        <v>161</v>
      </c>
      <c r="E238" s="55" t="str">
        <f>E237</f>
        <v>HKL77</v>
      </c>
      <c r="F238" s="50">
        <f>F237</f>
        <v>0.24</v>
      </c>
      <c r="G238" s="49" t="s">
        <v>221</v>
      </c>
      <c r="H238" s="64" t="s">
        <v>222</v>
      </c>
      <c r="I238" s="49">
        <f>I237</f>
        <v>3</v>
      </c>
      <c r="J238" s="49" t="str">
        <f>J237</f>
        <v>LT 2</v>
      </c>
      <c r="K238" s="84">
        <f>'HKL77'!Q9</f>
        <v>718.7</v>
      </c>
      <c r="L238" s="84">
        <f>'HKL77'!P9</f>
        <v>960</v>
      </c>
      <c r="M238" s="84">
        <f>'[1]April-18'!M14</f>
        <v>1</v>
      </c>
      <c r="N238" s="84">
        <f t="shared" si="0"/>
        <v>241.29999999999995</v>
      </c>
      <c r="O238" s="84">
        <f>'HKL77'!F9</f>
        <v>21.3</v>
      </c>
      <c r="P238" s="84">
        <f>'HKL77'!E9</f>
        <v>35.5</v>
      </c>
      <c r="Q238" s="84">
        <f>Q237</f>
        <v>1</v>
      </c>
      <c r="R238" s="84">
        <f t="shared" si="7"/>
        <v>14.2</v>
      </c>
      <c r="S238" s="84">
        <f>'HKL77'!K9</f>
        <v>525.20000000000005</v>
      </c>
      <c r="T238" s="84">
        <f>'HKL77'!J9</f>
        <v>744</v>
      </c>
      <c r="U238" s="84">
        <f>'[1]April-18'!U14</f>
        <v>1</v>
      </c>
      <c r="V238" s="84">
        <f t="shared" si="8"/>
        <v>218.79999999999995</v>
      </c>
      <c r="W238" s="84"/>
      <c r="X238" s="84"/>
      <c r="Y238" s="85">
        <f t="shared" si="87"/>
        <v>2.6811111111111106</v>
      </c>
      <c r="Z238" s="84"/>
      <c r="AA238" s="82" t="str">
        <f>'HKL77'!B9</f>
        <v>01.09.2019</v>
      </c>
    </row>
    <row r="239" spans="1:27" s="40" customFormat="1" ht="39.950000000000003" hidden="1" customHeight="1" x14ac:dyDescent="0.25">
      <c r="A239" s="49">
        <v>3</v>
      </c>
      <c r="B239" s="50" t="s">
        <v>43</v>
      </c>
      <c r="C239" s="56" t="str">
        <f>C238</f>
        <v>HDKOTE/1714</v>
      </c>
      <c r="D239" s="51" t="s">
        <v>161</v>
      </c>
      <c r="E239" s="55" t="str">
        <f>E238</f>
        <v>HKL77</v>
      </c>
      <c r="F239" s="50">
        <f>F238</f>
        <v>0.24</v>
      </c>
      <c r="G239" s="49" t="s">
        <v>221</v>
      </c>
      <c r="H239" s="64" t="s">
        <v>222</v>
      </c>
      <c r="I239" s="49">
        <f t="shared" ref="I239:J243" si="542">I238</f>
        <v>3</v>
      </c>
      <c r="J239" s="49" t="str">
        <f t="shared" si="542"/>
        <v>LT 2</v>
      </c>
      <c r="K239" s="84">
        <f>'HKL77'!Q10</f>
        <v>960</v>
      </c>
      <c r="L239" s="84">
        <f>'HKL77'!P10</f>
        <v>1199</v>
      </c>
      <c r="M239" s="84">
        <f>'[1]April-18'!M15</f>
        <v>1</v>
      </c>
      <c r="N239" s="84">
        <f t="shared" si="0"/>
        <v>239</v>
      </c>
      <c r="O239" s="84">
        <f>'HKL77'!F10</f>
        <v>35.5</v>
      </c>
      <c r="P239" s="84">
        <f>'HKL77'!E10</f>
        <v>46.7</v>
      </c>
      <c r="Q239" s="84">
        <f>Q238</f>
        <v>1</v>
      </c>
      <c r="R239" s="84">
        <f t="shared" si="7"/>
        <v>11.200000000000003</v>
      </c>
      <c r="S239" s="84">
        <f>'HKL77'!K10</f>
        <v>744</v>
      </c>
      <c r="T239" s="84">
        <f>'HKL77'!J10</f>
        <v>966</v>
      </c>
      <c r="U239" s="84">
        <f>'[1]April-18'!U15</f>
        <v>1</v>
      </c>
      <c r="V239" s="84">
        <f t="shared" si="8"/>
        <v>222</v>
      </c>
      <c r="W239" s="84"/>
      <c r="X239" s="84"/>
      <c r="Y239" s="85">
        <f t="shared" si="87"/>
        <v>2.6555555555555554</v>
      </c>
      <c r="Z239" s="84"/>
      <c r="AA239" s="82" t="str">
        <f>'HKL77'!B10</f>
        <v>01.10.2019</v>
      </c>
    </row>
    <row r="240" spans="1:27" s="40" customFormat="1" ht="39.950000000000003" hidden="1" customHeight="1" x14ac:dyDescent="0.25">
      <c r="A240" s="49">
        <v>4</v>
      </c>
      <c r="B240" s="50" t="s">
        <v>43</v>
      </c>
      <c r="C240" s="56" t="str">
        <f>C238</f>
        <v>HDKOTE/1714</v>
      </c>
      <c r="D240" s="51" t="s">
        <v>161</v>
      </c>
      <c r="E240" s="55" t="str">
        <f>E238</f>
        <v>HKL77</v>
      </c>
      <c r="F240" s="50">
        <f>F239</f>
        <v>0.24</v>
      </c>
      <c r="G240" s="49" t="s">
        <v>221</v>
      </c>
      <c r="H240" s="64" t="s">
        <v>222</v>
      </c>
      <c r="I240" s="49">
        <f t="shared" si="542"/>
        <v>3</v>
      </c>
      <c r="J240" s="49" t="str">
        <f t="shared" si="542"/>
        <v>LT 2</v>
      </c>
      <c r="K240" s="84">
        <f>'HKL77'!Q11</f>
        <v>1199</v>
      </c>
      <c r="L240" s="84">
        <f>'HKL77'!P11</f>
        <v>1430</v>
      </c>
      <c r="M240" s="84">
        <f>'[1]April-18'!M16</f>
        <v>1</v>
      </c>
      <c r="N240" s="84">
        <f t="shared" si="0"/>
        <v>231</v>
      </c>
      <c r="O240" s="84">
        <f>'HKL77'!F11</f>
        <v>46.7</v>
      </c>
      <c r="P240" s="84">
        <f>'HKL77'!E11</f>
        <v>56.7</v>
      </c>
      <c r="Q240" s="84">
        <f>Q238</f>
        <v>1</v>
      </c>
      <c r="R240" s="84">
        <f t="shared" si="7"/>
        <v>10</v>
      </c>
      <c r="S240" s="84">
        <f>'HKL77'!K11</f>
        <v>966</v>
      </c>
      <c r="T240" s="84">
        <f>'HKL77'!J11</f>
        <v>1183</v>
      </c>
      <c r="U240" s="84">
        <f>'[1]April-18'!U16</f>
        <v>1</v>
      </c>
      <c r="V240" s="84">
        <f t="shared" si="8"/>
        <v>217</v>
      </c>
      <c r="W240" s="84"/>
      <c r="X240" s="84"/>
      <c r="Y240" s="85">
        <f t="shared" si="87"/>
        <v>2.5666666666666669</v>
      </c>
      <c r="Z240" s="84"/>
      <c r="AA240" s="82" t="str">
        <f>'HKL77'!B11</f>
        <v>01.11.2019</v>
      </c>
    </row>
    <row r="241" spans="1:27" s="40" customFormat="1" ht="39.950000000000003" hidden="1" customHeight="1" x14ac:dyDescent="0.25">
      <c r="A241" s="49">
        <v>5</v>
      </c>
      <c r="B241" s="50" t="s">
        <v>43</v>
      </c>
      <c r="C241" s="56" t="str">
        <f>C239</f>
        <v>HDKOTE/1714</v>
      </c>
      <c r="D241" s="51" t="s">
        <v>161</v>
      </c>
      <c r="E241" s="55" t="str">
        <f>E239</f>
        <v>HKL77</v>
      </c>
      <c r="F241" s="50">
        <f>F240</f>
        <v>0.24</v>
      </c>
      <c r="G241" s="49" t="s">
        <v>221</v>
      </c>
      <c r="H241" s="64" t="s">
        <v>222</v>
      </c>
      <c r="I241" s="49">
        <f t="shared" si="542"/>
        <v>3</v>
      </c>
      <c r="J241" s="49" t="str">
        <f t="shared" si="542"/>
        <v>LT 2</v>
      </c>
      <c r="K241" s="84">
        <f>'HKL77'!Q12</f>
        <v>1430</v>
      </c>
      <c r="L241" s="84">
        <f>'HKL77'!P12</f>
        <v>1693.9</v>
      </c>
      <c r="M241" s="84">
        <f>'[1]April-18'!M17</f>
        <v>1</v>
      </c>
      <c r="N241" s="84">
        <f t="shared" si="0"/>
        <v>263.90000000000009</v>
      </c>
      <c r="O241" s="84">
        <f>'HKL77'!F12</f>
        <v>56.7</v>
      </c>
      <c r="P241" s="84">
        <f>'HKL77'!E12</f>
        <v>77.7</v>
      </c>
      <c r="Q241" s="84">
        <f>Q239</f>
        <v>1</v>
      </c>
      <c r="R241" s="84">
        <f t="shared" si="7"/>
        <v>21</v>
      </c>
      <c r="S241" s="84">
        <f>'HKL77'!K12</f>
        <v>1183</v>
      </c>
      <c r="T241" s="84">
        <f>'HKL77'!J12</f>
        <v>1518.5</v>
      </c>
      <c r="U241" s="84">
        <f>'[1]April-18'!U17</f>
        <v>1</v>
      </c>
      <c r="V241" s="84">
        <f t="shared" si="8"/>
        <v>335.5</v>
      </c>
      <c r="W241" s="84"/>
      <c r="X241" s="84"/>
      <c r="Y241" s="85">
        <f t="shared" si="87"/>
        <v>2.9322222222222236</v>
      </c>
      <c r="Z241" s="84"/>
      <c r="AA241" s="82" t="str">
        <f>'HKL77'!B12</f>
        <v>01.12.2019</v>
      </c>
    </row>
    <row r="242" spans="1:27" s="40" customFormat="1" ht="39.950000000000003" hidden="1" customHeight="1" x14ac:dyDescent="0.25">
      <c r="A242" s="49">
        <v>6</v>
      </c>
      <c r="B242" s="50" t="s">
        <v>43</v>
      </c>
      <c r="C242" s="56" t="str">
        <f>C240</f>
        <v>HDKOTE/1714</v>
      </c>
      <c r="D242" s="51" t="s">
        <v>161</v>
      </c>
      <c r="E242" s="55" t="str">
        <f>E240</f>
        <v>HKL77</v>
      </c>
      <c r="F242" s="50">
        <f>F241</f>
        <v>0.24</v>
      </c>
      <c r="G242" s="49" t="s">
        <v>221</v>
      </c>
      <c r="H242" s="64" t="s">
        <v>222</v>
      </c>
      <c r="I242" s="49">
        <f t="shared" si="542"/>
        <v>3</v>
      </c>
      <c r="J242" s="49" t="str">
        <f t="shared" si="542"/>
        <v>LT 2</v>
      </c>
      <c r="K242" s="84">
        <f>'HKL77'!Q13</f>
        <v>1693.9</v>
      </c>
      <c r="L242" s="84">
        <f>'HKL77'!P13</f>
        <v>1949</v>
      </c>
      <c r="M242" s="84">
        <f>'[1]April-18'!M18</f>
        <v>1</v>
      </c>
      <c r="N242" s="84">
        <f t="shared" si="0"/>
        <v>255.09999999999991</v>
      </c>
      <c r="O242" s="84">
        <f>'HKL77'!F13</f>
        <v>77.7</v>
      </c>
      <c r="P242" s="84">
        <f>'HKL77'!E13</f>
        <v>89.6</v>
      </c>
      <c r="Q242" s="84">
        <f>Q240</f>
        <v>1</v>
      </c>
      <c r="R242" s="84">
        <f t="shared" si="7"/>
        <v>11.899999999999991</v>
      </c>
      <c r="S242" s="84">
        <f>'HKL77'!K13</f>
        <v>1518.5</v>
      </c>
      <c r="T242" s="84">
        <f>'HKL77'!J13</f>
        <v>1744</v>
      </c>
      <c r="U242" s="84">
        <f>'[1]April-18'!U18</f>
        <v>1</v>
      </c>
      <c r="V242" s="84">
        <f t="shared" si="8"/>
        <v>225.5</v>
      </c>
      <c r="W242" s="84"/>
      <c r="X242" s="84"/>
      <c r="Y242" s="85">
        <f t="shared" si="87"/>
        <v>2.8344444444444434</v>
      </c>
      <c r="Z242" s="84"/>
      <c r="AA242" s="82" t="str">
        <f>'HKL77'!B13</f>
        <v>01.01.2020</v>
      </c>
    </row>
    <row r="243" spans="1:27" s="40" customFormat="1" ht="39.950000000000003" hidden="1" customHeight="1" x14ac:dyDescent="0.25">
      <c r="A243" s="49">
        <v>7</v>
      </c>
      <c r="B243" s="50" t="s">
        <v>43</v>
      </c>
      <c r="C243" s="56" t="str">
        <f>C241</f>
        <v>HDKOTE/1714</v>
      </c>
      <c r="D243" s="51" t="s">
        <v>161</v>
      </c>
      <c r="E243" s="55" t="str">
        <f>E241</f>
        <v>HKL77</v>
      </c>
      <c r="F243" s="50">
        <f>F242</f>
        <v>0.24</v>
      </c>
      <c r="G243" s="49" t="s">
        <v>221</v>
      </c>
      <c r="H243" s="64" t="s">
        <v>222</v>
      </c>
      <c r="I243" s="49">
        <f t="shared" si="542"/>
        <v>3</v>
      </c>
      <c r="J243" s="49" t="str">
        <f t="shared" si="542"/>
        <v>LT 2</v>
      </c>
      <c r="K243" s="84">
        <f>'HKL77'!Q14</f>
        <v>1949</v>
      </c>
      <c r="L243" s="84">
        <f>'HKL77'!P14</f>
        <v>2203</v>
      </c>
      <c r="M243" s="84">
        <f>'[1]April-18'!M19</f>
        <v>1</v>
      </c>
      <c r="N243" s="84">
        <f t="shared" si="0"/>
        <v>254</v>
      </c>
      <c r="O243" s="84">
        <f>'HKL77'!F14</f>
        <v>89.6</v>
      </c>
      <c r="P243" s="84">
        <f>'HKL77'!E14</f>
        <v>101.6</v>
      </c>
      <c r="Q243" s="84">
        <f>Q241</f>
        <v>1</v>
      </c>
      <c r="R243" s="84">
        <f t="shared" si="7"/>
        <v>12</v>
      </c>
      <c r="S243" s="84">
        <f>'HKL77'!K14</f>
        <v>1744</v>
      </c>
      <c r="T243" s="84">
        <f>'HKL77'!J14</f>
        <v>1970</v>
      </c>
      <c r="U243" s="84">
        <f>'[1]April-18'!U19</f>
        <v>1</v>
      </c>
      <c r="V243" s="84">
        <f t="shared" si="8"/>
        <v>226</v>
      </c>
      <c r="W243" s="84"/>
      <c r="X243" s="84"/>
      <c r="Y243" s="85">
        <f t="shared" si="87"/>
        <v>2.8222222222222224</v>
      </c>
      <c r="Z243" s="84"/>
      <c r="AA243" s="82" t="s">
        <v>253</v>
      </c>
    </row>
    <row r="244" spans="1:27" s="40" customFormat="1" ht="39.950000000000003" hidden="1" customHeight="1" x14ac:dyDescent="0.25">
      <c r="A244" s="49">
        <v>8</v>
      </c>
      <c r="B244" s="50" t="s">
        <v>43</v>
      </c>
      <c r="C244" s="56" t="str">
        <f t="shared" ref="C244:C268" si="543">C242</f>
        <v>HDKOTE/1714</v>
      </c>
      <c r="D244" s="51" t="s">
        <v>161</v>
      </c>
      <c r="E244" s="55" t="str">
        <f t="shared" ref="E244:E268" si="544">E242</f>
        <v>HKL77</v>
      </c>
      <c r="F244" s="50">
        <f t="shared" ref="F244:F268" si="545">F243</f>
        <v>0.24</v>
      </c>
      <c r="G244" s="49" t="s">
        <v>221</v>
      </c>
      <c r="H244" s="64" t="s">
        <v>222</v>
      </c>
      <c r="I244" s="49">
        <f t="shared" ref="I244:J244" si="546">I243</f>
        <v>3</v>
      </c>
      <c r="J244" s="49" t="str">
        <f t="shared" si="546"/>
        <v>LT 2</v>
      </c>
      <c r="K244" s="84">
        <f>'HKL77'!Q15</f>
        <v>2203</v>
      </c>
      <c r="L244" s="84">
        <f>'HKL77'!P15</f>
        <v>2400</v>
      </c>
      <c r="M244" s="84">
        <f>'[1]April-18'!M20</f>
        <v>1</v>
      </c>
      <c r="N244" s="84">
        <f t="shared" ref="N244:N251" si="547">(L244-K244)*M244</f>
        <v>197</v>
      </c>
      <c r="O244" s="84">
        <f>'HKL77'!F15</f>
        <v>101.6</v>
      </c>
      <c r="P244" s="84">
        <f>'HKL77'!E15</f>
        <v>117.5</v>
      </c>
      <c r="Q244" s="84">
        <f t="shared" ref="Q244:Q268" si="548">Q242</f>
        <v>1</v>
      </c>
      <c r="R244" s="84">
        <f t="shared" ref="R244:R251" si="549">(P244-O244)*Q244</f>
        <v>15.900000000000006</v>
      </c>
      <c r="S244" s="84">
        <f>'HKL77'!K15</f>
        <v>1970</v>
      </c>
      <c r="T244" s="84">
        <f>'HKL77'!J15</f>
        <v>2186.6</v>
      </c>
      <c r="U244" s="84">
        <f>'[1]April-18'!U20</f>
        <v>1</v>
      </c>
      <c r="V244" s="84">
        <f t="shared" ref="V244:V251" si="550">(T244-S244)*U244</f>
        <v>216.59999999999991</v>
      </c>
      <c r="W244" s="84"/>
      <c r="X244" s="84"/>
      <c r="Y244" s="85">
        <f t="shared" ref="Y244:Y251" si="551">N244/30/I244</f>
        <v>2.1888888888888887</v>
      </c>
      <c r="Z244" s="84"/>
      <c r="AA244" s="82" t="s">
        <v>254</v>
      </c>
    </row>
    <row r="245" spans="1:27" s="40" customFormat="1" ht="39.950000000000003" hidden="1" customHeight="1" x14ac:dyDescent="0.25">
      <c r="A245" s="49">
        <v>9</v>
      </c>
      <c r="B245" s="50" t="s">
        <v>43</v>
      </c>
      <c r="C245" s="56" t="str">
        <f t="shared" si="543"/>
        <v>HDKOTE/1714</v>
      </c>
      <c r="D245" s="51" t="s">
        <v>161</v>
      </c>
      <c r="E245" s="55" t="str">
        <f t="shared" si="544"/>
        <v>HKL77</v>
      </c>
      <c r="F245" s="50">
        <f t="shared" si="545"/>
        <v>0.24</v>
      </c>
      <c r="G245" s="49" t="s">
        <v>221</v>
      </c>
      <c r="H245" s="64" t="s">
        <v>222</v>
      </c>
      <c r="I245" s="49">
        <f t="shared" ref="I245:J245" si="552">I244</f>
        <v>3</v>
      </c>
      <c r="J245" s="49" t="str">
        <f t="shared" si="552"/>
        <v>LT 2</v>
      </c>
      <c r="K245" s="84">
        <f>'HKL77'!Q16</f>
        <v>2400</v>
      </c>
      <c r="L245" s="84">
        <f>'HKL77'!P16</f>
        <v>2627</v>
      </c>
      <c r="M245" s="84">
        <f>'[1]April-18'!M21</f>
        <v>1</v>
      </c>
      <c r="N245" s="84">
        <f t="shared" si="547"/>
        <v>227</v>
      </c>
      <c r="O245" s="84">
        <f>'HKL77'!F16</f>
        <v>117.5</v>
      </c>
      <c r="P245" s="84">
        <f>'HKL77'!E16</f>
        <v>134</v>
      </c>
      <c r="Q245" s="84">
        <f t="shared" si="548"/>
        <v>1</v>
      </c>
      <c r="R245" s="84">
        <f t="shared" si="549"/>
        <v>16.5</v>
      </c>
      <c r="S245" s="84">
        <f>'HKL77'!K16</f>
        <v>2186.6</v>
      </c>
      <c r="T245" s="84">
        <f>'HKL77'!J16</f>
        <v>2400.6</v>
      </c>
      <c r="U245" s="84">
        <f>'[1]April-18'!U21</f>
        <v>1</v>
      </c>
      <c r="V245" s="84">
        <f t="shared" si="550"/>
        <v>214</v>
      </c>
      <c r="W245" s="84"/>
      <c r="X245" s="84"/>
      <c r="Y245" s="85">
        <f t="shared" si="551"/>
        <v>2.5222222222222221</v>
      </c>
      <c r="Z245" s="84"/>
      <c r="AA245" s="82" t="s">
        <v>258</v>
      </c>
    </row>
    <row r="246" spans="1:27" s="40" customFormat="1" ht="39.950000000000003" hidden="1" customHeight="1" x14ac:dyDescent="0.25">
      <c r="A246" s="49">
        <v>10</v>
      </c>
      <c r="B246" s="50" t="s">
        <v>43</v>
      </c>
      <c r="C246" s="56" t="str">
        <f t="shared" si="543"/>
        <v>HDKOTE/1714</v>
      </c>
      <c r="D246" s="51" t="s">
        <v>161</v>
      </c>
      <c r="E246" s="55" t="str">
        <f t="shared" si="544"/>
        <v>HKL77</v>
      </c>
      <c r="F246" s="50">
        <f t="shared" si="545"/>
        <v>0.24</v>
      </c>
      <c r="G246" s="49" t="s">
        <v>221</v>
      </c>
      <c r="H246" s="64" t="s">
        <v>222</v>
      </c>
      <c r="I246" s="49">
        <f t="shared" ref="I246:J246" si="553">I245</f>
        <v>3</v>
      </c>
      <c r="J246" s="49" t="str">
        <f t="shared" si="553"/>
        <v>LT 2</v>
      </c>
      <c r="K246" s="84">
        <f>'HKL77'!Q17</f>
        <v>0</v>
      </c>
      <c r="L246" s="84">
        <f>'HKL77'!P17</f>
        <v>0</v>
      </c>
      <c r="M246" s="84">
        <f>'[1]April-18'!M22</f>
        <v>1</v>
      </c>
      <c r="N246" s="84">
        <f t="shared" si="547"/>
        <v>0</v>
      </c>
      <c r="O246" s="84">
        <f>'HKL77'!F17</f>
        <v>0</v>
      </c>
      <c r="P246" s="84">
        <f>'HKL77'!E17</f>
        <v>0</v>
      </c>
      <c r="Q246" s="84">
        <f t="shared" si="548"/>
        <v>1</v>
      </c>
      <c r="R246" s="84">
        <f t="shared" si="549"/>
        <v>0</v>
      </c>
      <c r="S246" s="84">
        <f>'HKL77'!K17</f>
        <v>0</v>
      </c>
      <c r="T246" s="84">
        <f>'HKL77'!J17</f>
        <v>0</v>
      </c>
      <c r="U246" s="84">
        <f>'[1]April-18'!U22</f>
        <v>1</v>
      </c>
      <c r="V246" s="84">
        <f t="shared" si="550"/>
        <v>0</v>
      </c>
      <c r="W246" s="84"/>
      <c r="X246" s="84"/>
      <c r="Y246" s="85">
        <f t="shared" si="551"/>
        <v>0</v>
      </c>
      <c r="Z246" s="84"/>
      <c r="AA246" s="82"/>
    </row>
    <row r="247" spans="1:27" s="40" customFormat="1" ht="39.950000000000003" hidden="1" customHeight="1" x14ac:dyDescent="0.25">
      <c r="A247" s="49">
        <v>11</v>
      </c>
      <c r="B247" s="50" t="s">
        <v>43</v>
      </c>
      <c r="C247" s="56" t="str">
        <f t="shared" si="543"/>
        <v>HDKOTE/1714</v>
      </c>
      <c r="D247" s="51" t="s">
        <v>161</v>
      </c>
      <c r="E247" s="55" t="str">
        <f t="shared" si="544"/>
        <v>HKL77</v>
      </c>
      <c r="F247" s="50">
        <f t="shared" si="545"/>
        <v>0.24</v>
      </c>
      <c r="G247" s="49" t="s">
        <v>221</v>
      </c>
      <c r="H247" s="64" t="s">
        <v>222</v>
      </c>
      <c r="I247" s="49">
        <f t="shared" ref="I247:J247" si="554">I246</f>
        <v>3</v>
      </c>
      <c r="J247" s="49" t="str">
        <f t="shared" si="554"/>
        <v>LT 2</v>
      </c>
      <c r="K247" s="84">
        <f>'HKL77'!Q18</f>
        <v>2627</v>
      </c>
      <c r="L247" s="84">
        <f>'HKL77'!P18</f>
        <v>2856</v>
      </c>
      <c r="M247" s="84">
        <f>'[1]April-18'!M23</f>
        <v>1</v>
      </c>
      <c r="N247" s="84">
        <f t="shared" si="547"/>
        <v>229</v>
      </c>
      <c r="O247" s="84">
        <f>'HKL77'!F18</f>
        <v>134</v>
      </c>
      <c r="P247" s="84">
        <f>'HKL77'!E18</f>
        <v>149</v>
      </c>
      <c r="Q247" s="84">
        <f t="shared" si="548"/>
        <v>1</v>
      </c>
      <c r="R247" s="84">
        <f t="shared" si="549"/>
        <v>15</v>
      </c>
      <c r="S247" s="84">
        <f>'HKL77'!K18</f>
        <v>2400.6</v>
      </c>
      <c r="T247" s="84">
        <f>'HKL77'!J18</f>
        <v>2612.6</v>
      </c>
      <c r="U247" s="84">
        <f>'[1]April-18'!U23</f>
        <v>1</v>
      </c>
      <c r="V247" s="84">
        <f t="shared" si="550"/>
        <v>212</v>
      </c>
      <c r="W247" s="84"/>
      <c r="X247" s="84"/>
      <c r="Y247" s="85">
        <f t="shared" si="551"/>
        <v>2.5444444444444447</v>
      </c>
      <c r="Z247" s="84"/>
      <c r="AA247" s="82" t="s">
        <v>259</v>
      </c>
    </row>
    <row r="248" spans="1:27" s="40" customFormat="1" ht="39.950000000000003" hidden="1" customHeight="1" x14ac:dyDescent="0.25">
      <c r="A248" s="49">
        <v>12</v>
      </c>
      <c r="B248" s="50" t="s">
        <v>43</v>
      </c>
      <c r="C248" s="56" t="str">
        <f t="shared" si="543"/>
        <v>HDKOTE/1714</v>
      </c>
      <c r="D248" s="51" t="s">
        <v>161</v>
      </c>
      <c r="E248" s="55" t="str">
        <f t="shared" si="544"/>
        <v>HKL77</v>
      </c>
      <c r="F248" s="50">
        <f t="shared" si="545"/>
        <v>0.24</v>
      </c>
      <c r="G248" s="49" t="s">
        <v>221</v>
      </c>
      <c r="H248" s="64" t="s">
        <v>222</v>
      </c>
      <c r="I248" s="49">
        <f t="shared" ref="I248:J248" si="555">I247</f>
        <v>3</v>
      </c>
      <c r="J248" s="49" t="str">
        <f t="shared" si="555"/>
        <v>LT 2</v>
      </c>
      <c r="K248" s="84">
        <f>'HKL77'!Q19</f>
        <v>2856</v>
      </c>
      <c r="L248" s="84">
        <f>'HKL77'!P19</f>
        <v>3080.3</v>
      </c>
      <c r="M248" s="84">
        <f>'[1]April-18'!M24</f>
        <v>1</v>
      </c>
      <c r="N248" s="84">
        <f t="shared" si="547"/>
        <v>224.30000000000018</v>
      </c>
      <c r="O248" s="84">
        <f>'HKL77'!F19</f>
        <v>149</v>
      </c>
      <c r="P248" s="84">
        <f>'HKL77'!E19</f>
        <v>160.4</v>
      </c>
      <c r="Q248" s="84">
        <f t="shared" si="548"/>
        <v>1</v>
      </c>
      <c r="R248" s="84">
        <f t="shared" si="549"/>
        <v>11.400000000000006</v>
      </c>
      <c r="S248" s="84">
        <f>'HKL77'!K19</f>
        <v>2612.6</v>
      </c>
      <c r="T248" s="84">
        <f>'HKL77'!J19</f>
        <v>2828.3</v>
      </c>
      <c r="U248" s="84">
        <f>'[1]April-18'!U24</f>
        <v>1</v>
      </c>
      <c r="V248" s="84">
        <f t="shared" si="550"/>
        <v>215.70000000000027</v>
      </c>
      <c r="W248" s="84"/>
      <c r="X248" s="84"/>
      <c r="Y248" s="85">
        <f t="shared" si="551"/>
        <v>2.4922222222222241</v>
      </c>
      <c r="Z248" s="84"/>
      <c r="AA248" s="82" t="s">
        <v>263</v>
      </c>
    </row>
    <row r="249" spans="1:27" s="40" customFormat="1" ht="39.950000000000003" hidden="1" customHeight="1" x14ac:dyDescent="0.25">
      <c r="A249" s="49">
        <v>13</v>
      </c>
      <c r="B249" s="50" t="s">
        <v>43</v>
      </c>
      <c r="C249" s="56" t="str">
        <f t="shared" si="543"/>
        <v>HDKOTE/1714</v>
      </c>
      <c r="D249" s="51" t="s">
        <v>161</v>
      </c>
      <c r="E249" s="55" t="str">
        <f t="shared" si="544"/>
        <v>HKL77</v>
      </c>
      <c r="F249" s="50">
        <f t="shared" si="545"/>
        <v>0.24</v>
      </c>
      <c r="G249" s="49" t="s">
        <v>221</v>
      </c>
      <c r="H249" s="64" t="s">
        <v>222</v>
      </c>
      <c r="I249" s="49">
        <f t="shared" ref="I249:J249" si="556">I248</f>
        <v>3</v>
      </c>
      <c r="J249" s="49" t="str">
        <f t="shared" si="556"/>
        <v>LT 2</v>
      </c>
      <c r="K249" s="84">
        <f>'HKL77'!Q20</f>
        <v>3080.3</v>
      </c>
      <c r="L249" s="84">
        <f>'HKL77'!P20</f>
        <v>3233.1</v>
      </c>
      <c r="M249" s="84">
        <f>'[1]April-18'!M25</f>
        <v>1</v>
      </c>
      <c r="N249" s="84">
        <f t="shared" si="547"/>
        <v>152.79999999999973</v>
      </c>
      <c r="O249" s="84">
        <f>'HKL77'!F20</f>
        <v>160.4</v>
      </c>
      <c r="P249" s="84">
        <f>'HKL77'!E20</f>
        <v>173.3</v>
      </c>
      <c r="Q249" s="84">
        <f t="shared" si="548"/>
        <v>1</v>
      </c>
      <c r="R249" s="84">
        <f t="shared" si="549"/>
        <v>12.900000000000006</v>
      </c>
      <c r="S249" s="84">
        <f>'HKL77'!K20</f>
        <v>2828.3</v>
      </c>
      <c r="T249" s="84">
        <f>'HKL77'!J20</f>
        <v>2978.9</v>
      </c>
      <c r="U249" s="84">
        <f>'[1]April-18'!U25</f>
        <v>1</v>
      </c>
      <c r="V249" s="84">
        <f t="shared" si="550"/>
        <v>150.59999999999991</v>
      </c>
      <c r="W249" s="84"/>
      <c r="X249" s="84"/>
      <c r="Y249" s="85">
        <f t="shared" si="551"/>
        <v>1.6977777777777747</v>
      </c>
      <c r="Z249" s="84"/>
      <c r="AA249" s="82" t="s">
        <v>265</v>
      </c>
    </row>
    <row r="250" spans="1:27" s="40" customFormat="1" ht="39.950000000000003" hidden="1" customHeight="1" x14ac:dyDescent="0.25">
      <c r="A250" s="49">
        <v>14</v>
      </c>
      <c r="B250" s="50" t="s">
        <v>43</v>
      </c>
      <c r="C250" s="56" t="str">
        <f t="shared" si="543"/>
        <v>HDKOTE/1714</v>
      </c>
      <c r="D250" s="51" t="s">
        <v>161</v>
      </c>
      <c r="E250" s="55" t="str">
        <f t="shared" si="544"/>
        <v>HKL77</v>
      </c>
      <c r="F250" s="50">
        <f t="shared" si="545"/>
        <v>0.24</v>
      </c>
      <c r="G250" s="49" t="s">
        <v>221</v>
      </c>
      <c r="H250" s="64" t="s">
        <v>222</v>
      </c>
      <c r="I250" s="49">
        <f t="shared" ref="I250:J250" si="557">I249</f>
        <v>3</v>
      </c>
      <c r="J250" s="49" t="str">
        <f t="shared" si="557"/>
        <v>LT 2</v>
      </c>
      <c r="K250" s="84">
        <f>'HKL77'!Q21</f>
        <v>3233.1</v>
      </c>
      <c r="L250" s="84">
        <f>'HKL77'!P21</f>
        <v>3404.3</v>
      </c>
      <c r="M250" s="84">
        <f>M249</f>
        <v>1</v>
      </c>
      <c r="N250" s="84">
        <f t="shared" si="547"/>
        <v>171.20000000000027</v>
      </c>
      <c r="O250" s="84">
        <f>'HKL77'!F21</f>
        <v>173.3</v>
      </c>
      <c r="P250" s="84">
        <f>'HKL77'!E21</f>
        <v>187.5</v>
      </c>
      <c r="Q250" s="84">
        <f t="shared" si="548"/>
        <v>1</v>
      </c>
      <c r="R250" s="84">
        <f t="shared" si="549"/>
        <v>14.199999999999989</v>
      </c>
      <c r="S250" s="84">
        <f>'HKL77'!K21</f>
        <v>2978.9</v>
      </c>
      <c r="T250" s="84">
        <f>'HKL77'!J21</f>
        <v>3125.6</v>
      </c>
      <c r="U250" s="84">
        <f>U249</f>
        <v>1</v>
      </c>
      <c r="V250" s="84">
        <f t="shared" si="550"/>
        <v>146.69999999999982</v>
      </c>
      <c r="W250" s="84"/>
      <c r="X250" s="84"/>
      <c r="Y250" s="85">
        <f t="shared" si="551"/>
        <v>1.9022222222222254</v>
      </c>
      <c r="Z250" s="84"/>
      <c r="AA250" s="82"/>
    </row>
    <row r="251" spans="1:27" s="40" customFormat="1" ht="39.950000000000003" hidden="1" customHeight="1" x14ac:dyDescent="0.25">
      <c r="A251" s="49">
        <v>15</v>
      </c>
      <c r="B251" s="50" t="s">
        <v>43</v>
      </c>
      <c r="C251" s="56" t="str">
        <f t="shared" si="543"/>
        <v>HDKOTE/1714</v>
      </c>
      <c r="D251" s="51" t="s">
        <v>161</v>
      </c>
      <c r="E251" s="55" t="str">
        <f t="shared" si="544"/>
        <v>HKL77</v>
      </c>
      <c r="F251" s="50">
        <f t="shared" si="545"/>
        <v>0.24</v>
      </c>
      <c r="G251" s="49" t="s">
        <v>221</v>
      </c>
      <c r="H251" s="64" t="s">
        <v>222</v>
      </c>
      <c r="I251" s="49">
        <f t="shared" ref="I251:J251" si="558">I250</f>
        <v>3</v>
      </c>
      <c r="J251" s="49" t="str">
        <f t="shared" si="558"/>
        <v>LT 2</v>
      </c>
      <c r="K251" s="84">
        <f>'HKL77'!Q22</f>
        <v>3404.3</v>
      </c>
      <c r="L251" s="84">
        <f>'HKL77'!P22</f>
        <v>3553.3</v>
      </c>
      <c r="M251" s="84">
        <f>M250</f>
        <v>1</v>
      </c>
      <c r="N251" s="84">
        <f t="shared" si="547"/>
        <v>149</v>
      </c>
      <c r="O251" s="84">
        <f>'HKL77'!F22</f>
        <v>187.5</v>
      </c>
      <c r="P251" s="84">
        <f>'HKL77'!E22</f>
        <v>201.5</v>
      </c>
      <c r="Q251" s="84">
        <f t="shared" si="548"/>
        <v>1</v>
      </c>
      <c r="R251" s="84">
        <f t="shared" si="549"/>
        <v>14</v>
      </c>
      <c r="S251" s="84">
        <f>'HKL77'!K22</f>
        <v>3125.6</v>
      </c>
      <c r="T251" s="84">
        <f>'HKL77'!J22</f>
        <v>3263.7</v>
      </c>
      <c r="U251" s="84">
        <f>U250</f>
        <v>1</v>
      </c>
      <c r="V251" s="84">
        <f t="shared" si="550"/>
        <v>138.09999999999991</v>
      </c>
      <c r="W251" s="84"/>
      <c r="X251" s="84"/>
      <c r="Y251" s="85">
        <f t="shared" si="551"/>
        <v>1.6555555555555557</v>
      </c>
      <c r="Z251" s="84"/>
      <c r="AA251" s="82"/>
    </row>
    <row r="252" spans="1:27" s="40" customFormat="1" ht="39.950000000000003" hidden="1" customHeight="1" x14ac:dyDescent="0.25">
      <c r="A252" s="93">
        <v>16</v>
      </c>
      <c r="B252" s="50" t="s">
        <v>43</v>
      </c>
      <c r="C252" s="56" t="str">
        <f t="shared" si="543"/>
        <v>HDKOTE/1714</v>
      </c>
      <c r="D252" s="51" t="s">
        <v>161</v>
      </c>
      <c r="E252" s="55" t="str">
        <f t="shared" si="544"/>
        <v>HKL77</v>
      </c>
      <c r="F252" s="50">
        <f t="shared" si="545"/>
        <v>0.24</v>
      </c>
      <c r="G252" s="49" t="s">
        <v>221</v>
      </c>
      <c r="H252" s="64" t="s">
        <v>222</v>
      </c>
      <c r="I252" s="49">
        <f t="shared" ref="I252:J252" si="559">I251</f>
        <v>3</v>
      </c>
      <c r="J252" s="49" t="str">
        <f t="shared" si="559"/>
        <v>LT 2</v>
      </c>
      <c r="K252" s="84">
        <f>'HKL77'!Q23</f>
        <v>3553.3</v>
      </c>
      <c r="L252" s="84">
        <f>'HKL77'!P23</f>
        <v>3701.9</v>
      </c>
      <c r="M252" s="84">
        <f>M251</f>
        <v>1</v>
      </c>
      <c r="N252" s="84">
        <f t="shared" ref="N252" si="560">(L252-K252)*M252</f>
        <v>148.59999999999991</v>
      </c>
      <c r="O252" s="84">
        <f>'HKL77'!F23</f>
        <v>201.5</v>
      </c>
      <c r="P252" s="84">
        <f>'HKL77'!E23</f>
        <v>215.4</v>
      </c>
      <c r="Q252" s="84">
        <f t="shared" si="548"/>
        <v>1</v>
      </c>
      <c r="R252" s="84">
        <f t="shared" ref="R252" si="561">(P252-O252)*Q252</f>
        <v>13.900000000000006</v>
      </c>
      <c r="S252" s="84">
        <f>'HKL77'!K23</f>
        <v>3263.7</v>
      </c>
      <c r="T252" s="84">
        <f>'HKL77'!J23</f>
        <v>3405.2</v>
      </c>
      <c r="U252" s="84">
        <f>U251</f>
        <v>1</v>
      </c>
      <c r="V252" s="84">
        <f t="shared" ref="V252" si="562">(T252-S252)*U252</f>
        <v>141.5</v>
      </c>
      <c r="W252" s="84"/>
      <c r="X252" s="84"/>
      <c r="Y252" s="85">
        <f t="shared" ref="Y252" si="563">N252/30/I252</f>
        <v>1.6511111111111101</v>
      </c>
      <c r="Z252" s="84"/>
      <c r="AA252" s="82"/>
    </row>
    <row r="253" spans="1:27" s="40" customFormat="1" ht="39.950000000000003" hidden="1" customHeight="1" x14ac:dyDescent="0.25">
      <c r="A253" s="49">
        <v>17</v>
      </c>
      <c r="B253" s="50" t="s">
        <v>43</v>
      </c>
      <c r="C253" s="56" t="str">
        <f t="shared" si="543"/>
        <v>HDKOTE/1714</v>
      </c>
      <c r="D253" s="51" t="s">
        <v>161</v>
      </c>
      <c r="E253" s="55" t="str">
        <f t="shared" si="544"/>
        <v>HKL77</v>
      </c>
      <c r="F253" s="50">
        <f t="shared" si="545"/>
        <v>0.24</v>
      </c>
      <c r="G253" s="49" t="s">
        <v>221</v>
      </c>
      <c r="H253" s="64" t="s">
        <v>222</v>
      </c>
      <c r="I253" s="49">
        <f t="shared" ref="I253:J253" si="564">I252</f>
        <v>3</v>
      </c>
      <c r="J253" s="49" t="str">
        <f t="shared" si="564"/>
        <v>LT 2</v>
      </c>
      <c r="K253" s="84">
        <f>'HKL77'!Q24</f>
        <v>3701.9</v>
      </c>
      <c r="L253" s="84">
        <f>'HKL77'!P24</f>
        <v>3864.7</v>
      </c>
      <c r="M253" s="84">
        <f t="shared" ref="M253:M268" si="565">M252</f>
        <v>1</v>
      </c>
      <c r="N253" s="84">
        <f t="shared" ref="N253:N258" si="566">(L253-K253)*M253</f>
        <v>162.79999999999973</v>
      </c>
      <c r="O253" s="84">
        <f>'HKL77'!F24</f>
        <v>215.4</v>
      </c>
      <c r="P253" s="84">
        <f>'HKL77'!E24</f>
        <v>231.6</v>
      </c>
      <c r="Q253" s="84">
        <f t="shared" si="548"/>
        <v>1</v>
      </c>
      <c r="R253" s="84">
        <f t="shared" ref="R253:R258" si="567">(P253-O253)*Q253</f>
        <v>16.199999999999989</v>
      </c>
      <c r="S253" s="84">
        <f>'HKL77'!K24</f>
        <v>3405.2</v>
      </c>
      <c r="T253" s="84">
        <f>'HKL77'!J24</f>
        <v>3548.2</v>
      </c>
      <c r="U253" s="84">
        <f t="shared" ref="U253:U268" si="568">U252</f>
        <v>1</v>
      </c>
      <c r="V253" s="84">
        <f t="shared" ref="V253:V258" si="569">(T253-S253)*U253</f>
        <v>143</v>
      </c>
      <c r="W253" s="84"/>
      <c r="X253" s="84"/>
      <c r="Y253" s="85">
        <f t="shared" ref="Y253:Y258" si="570">N253/30/I253</f>
        <v>1.8088888888888859</v>
      </c>
      <c r="Z253" s="84"/>
      <c r="AA253" s="82"/>
    </row>
    <row r="254" spans="1:27" s="40" customFormat="1" ht="39.950000000000003" hidden="1" customHeight="1" x14ac:dyDescent="0.25">
      <c r="A254" s="94">
        <v>18</v>
      </c>
      <c r="B254" s="50" t="s">
        <v>43</v>
      </c>
      <c r="C254" s="56" t="str">
        <f t="shared" si="543"/>
        <v>HDKOTE/1714</v>
      </c>
      <c r="D254" s="51" t="s">
        <v>161</v>
      </c>
      <c r="E254" s="55" t="str">
        <f t="shared" si="544"/>
        <v>HKL77</v>
      </c>
      <c r="F254" s="50">
        <f t="shared" si="545"/>
        <v>0.24</v>
      </c>
      <c r="G254" s="49" t="s">
        <v>221</v>
      </c>
      <c r="H254" s="64" t="s">
        <v>222</v>
      </c>
      <c r="I254" s="49">
        <f t="shared" ref="I254:J254" si="571">I253</f>
        <v>3</v>
      </c>
      <c r="J254" s="49" t="str">
        <f t="shared" si="571"/>
        <v>LT 2</v>
      </c>
      <c r="K254" s="84">
        <f>'HKL77'!Q25</f>
        <v>3864.7</v>
      </c>
      <c r="L254" s="84">
        <f>'HKL77'!P25</f>
        <v>3996.3</v>
      </c>
      <c r="M254" s="84">
        <f t="shared" si="565"/>
        <v>1</v>
      </c>
      <c r="N254" s="84">
        <f t="shared" si="566"/>
        <v>131.60000000000036</v>
      </c>
      <c r="O254" s="84">
        <f>'HKL77'!F25</f>
        <v>231.6</v>
      </c>
      <c r="P254" s="84">
        <f>'HKL77'!E25</f>
        <v>246</v>
      </c>
      <c r="Q254" s="84">
        <f t="shared" si="548"/>
        <v>1</v>
      </c>
      <c r="R254" s="84">
        <f t="shared" si="567"/>
        <v>14.400000000000006</v>
      </c>
      <c r="S254" s="84">
        <f>'HKL77'!K25</f>
        <v>3548.2</v>
      </c>
      <c r="T254" s="84">
        <f>'HKL77'!J25</f>
        <v>3670.5</v>
      </c>
      <c r="U254" s="84">
        <f t="shared" si="568"/>
        <v>1</v>
      </c>
      <c r="V254" s="84">
        <f t="shared" si="569"/>
        <v>122.30000000000018</v>
      </c>
      <c r="W254" s="84"/>
      <c r="X254" s="84"/>
      <c r="Y254" s="85">
        <f t="shared" si="570"/>
        <v>1.4622222222222263</v>
      </c>
      <c r="Z254" s="84"/>
      <c r="AA254" s="82"/>
    </row>
    <row r="255" spans="1:27" s="40" customFormat="1" ht="39.950000000000003" hidden="1" customHeight="1" x14ac:dyDescent="0.25">
      <c r="A255" s="95">
        <v>19</v>
      </c>
      <c r="B255" s="50" t="s">
        <v>43</v>
      </c>
      <c r="C255" s="56" t="str">
        <f t="shared" si="543"/>
        <v>HDKOTE/1714</v>
      </c>
      <c r="D255" s="51" t="s">
        <v>161</v>
      </c>
      <c r="E255" s="55" t="str">
        <f t="shared" si="544"/>
        <v>HKL77</v>
      </c>
      <c r="F255" s="50">
        <f t="shared" si="545"/>
        <v>0.24</v>
      </c>
      <c r="G255" s="49" t="s">
        <v>221</v>
      </c>
      <c r="H255" s="64" t="s">
        <v>222</v>
      </c>
      <c r="I255" s="49">
        <f t="shared" ref="I255:J255" si="572">I254</f>
        <v>3</v>
      </c>
      <c r="J255" s="49" t="str">
        <f t="shared" si="572"/>
        <v>LT 2</v>
      </c>
      <c r="K255" s="84">
        <f>'HKL77'!Q26</f>
        <v>3996.3</v>
      </c>
      <c r="L255" s="84">
        <f>'HKL77'!P26</f>
        <v>4128.6000000000004</v>
      </c>
      <c r="M255" s="84">
        <f t="shared" si="565"/>
        <v>1</v>
      </c>
      <c r="N255" s="84">
        <f t="shared" si="566"/>
        <v>132.30000000000018</v>
      </c>
      <c r="O255" s="84">
        <f>'HKL77'!F26</f>
        <v>246</v>
      </c>
      <c r="P255" s="84">
        <f>'HKL77'!E26</f>
        <v>262.89999999999998</v>
      </c>
      <c r="Q255" s="84">
        <f t="shared" si="548"/>
        <v>1</v>
      </c>
      <c r="R255" s="84">
        <f t="shared" si="567"/>
        <v>16.899999999999977</v>
      </c>
      <c r="S255" s="84">
        <f>'HKL77'!K26</f>
        <v>3670.5</v>
      </c>
      <c r="T255" s="84">
        <f>'HKL77'!J26</f>
        <v>3789</v>
      </c>
      <c r="U255" s="84">
        <f t="shared" si="568"/>
        <v>1</v>
      </c>
      <c r="V255" s="84">
        <f t="shared" si="569"/>
        <v>118.5</v>
      </c>
      <c r="W255" s="84"/>
      <c r="X255" s="84"/>
      <c r="Y255" s="85">
        <f t="shared" si="570"/>
        <v>1.4700000000000022</v>
      </c>
      <c r="Z255" s="84"/>
      <c r="AA255" s="82"/>
    </row>
    <row r="256" spans="1:27" s="40" customFormat="1" ht="39.950000000000003" hidden="1" customHeight="1" x14ac:dyDescent="0.25">
      <c r="A256" s="49">
        <v>20</v>
      </c>
      <c r="B256" s="50" t="s">
        <v>43</v>
      </c>
      <c r="C256" s="56" t="str">
        <f t="shared" si="543"/>
        <v>HDKOTE/1714</v>
      </c>
      <c r="D256" s="51" t="s">
        <v>161</v>
      </c>
      <c r="E256" s="55" t="str">
        <f t="shared" si="544"/>
        <v>HKL77</v>
      </c>
      <c r="F256" s="50">
        <f t="shared" si="545"/>
        <v>0.24</v>
      </c>
      <c r="G256" s="49" t="s">
        <v>221</v>
      </c>
      <c r="H256" s="64" t="s">
        <v>222</v>
      </c>
      <c r="I256" s="49">
        <f t="shared" ref="I256:J256" si="573">I255</f>
        <v>3</v>
      </c>
      <c r="J256" s="49" t="str">
        <f t="shared" si="573"/>
        <v>LT 2</v>
      </c>
      <c r="K256" s="84">
        <f>'HKL77'!Q27</f>
        <v>4128.6000000000004</v>
      </c>
      <c r="L256" s="84">
        <f>'HKL77'!P27</f>
        <v>4251.3999999999996</v>
      </c>
      <c r="M256" s="84">
        <f t="shared" si="565"/>
        <v>1</v>
      </c>
      <c r="N256" s="84">
        <f t="shared" si="566"/>
        <v>122.79999999999927</v>
      </c>
      <c r="O256" s="84">
        <f>'HKL77'!F27</f>
        <v>262.89999999999998</v>
      </c>
      <c r="P256" s="84">
        <f>'HKL77'!E27</f>
        <v>278.10000000000002</v>
      </c>
      <c r="Q256" s="84">
        <f t="shared" si="548"/>
        <v>1</v>
      </c>
      <c r="R256" s="84">
        <f t="shared" si="567"/>
        <v>15.200000000000045</v>
      </c>
      <c r="S256" s="84">
        <f>'HKL77'!K27</f>
        <v>3789</v>
      </c>
      <c r="T256" s="84">
        <f>'HKL77'!J27</f>
        <v>3898.9</v>
      </c>
      <c r="U256" s="84">
        <f t="shared" si="568"/>
        <v>1</v>
      </c>
      <c r="V256" s="84">
        <f t="shared" si="569"/>
        <v>109.90000000000009</v>
      </c>
      <c r="W256" s="84"/>
      <c r="X256" s="84"/>
      <c r="Y256" s="85">
        <f t="shared" si="570"/>
        <v>1.3644444444444364</v>
      </c>
      <c r="Z256" s="84"/>
      <c r="AA256" s="82"/>
    </row>
    <row r="257" spans="1:27" s="40" customFormat="1" ht="39.950000000000003" hidden="1" customHeight="1" x14ac:dyDescent="0.25">
      <c r="A257" s="49">
        <v>21</v>
      </c>
      <c r="B257" s="50" t="s">
        <v>43</v>
      </c>
      <c r="C257" s="56" t="str">
        <f t="shared" si="543"/>
        <v>HDKOTE/1714</v>
      </c>
      <c r="D257" s="51" t="s">
        <v>161</v>
      </c>
      <c r="E257" s="55" t="str">
        <f t="shared" si="544"/>
        <v>HKL77</v>
      </c>
      <c r="F257" s="50">
        <f t="shared" si="545"/>
        <v>0.24</v>
      </c>
      <c r="G257" s="49" t="s">
        <v>221</v>
      </c>
      <c r="H257" s="64" t="s">
        <v>222</v>
      </c>
      <c r="I257" s="49">
        <f t="shared" ref="I257:J257" si="574">I256</f>
        <v>3</v>
      </c>
      <c r="J257" s="49" t="str">
        <f t="shared" si="574"/>
        <v>LT 2</v>
      </c>
      <c r="K257" s="84">
        <f>'HKL77'!Q28</f>
        <v>4251.3999999999996</v>
      </c>
      <c r="L257" s="84">
        <f>'HKL77'!P28</f>
        <v>4384.5</v>
      </c>
      <c r="M257" s="84">
        <f t="shared" si="565"/>
        <v>1</v>
      </c>
      <c r="N257" s="84">
        <f t="shared" si="566"/>
        <v>133.10000000000036</v>
      </c>
      <c r="O257" s="84">
        <f>'HKL77'!F28</f>
        <v>278.10000000000002</v>
      </c>
      <c r="P257" s="84">
        <f>'HKL77'!E28</f>
        <v>291.60000000000002</v>
      </c>
      <c r="Q257" s="84">
        <f t="shared" si="548"/>
        <v>1</v>
      </c>
      <c r="R257" s="84">
        <f t="shared" si="567"/>
        <v>13.5</v>
      </c>
      <c r="S257" s="84">
        <f>'HKL77'!K28</f>
        <v>3898.9</v>
      </c>
      <c r="T257" s="84">
        <f>'HKL77'!J28</f>
        <v>4020.8</v>
      </c>
      <c r="U257" s="84">
        <f t="shared" si="568"/>
        <v>1</v>
      </c>
      <c r="V257" s="84">
        <f t="shared" si="569"/>
        <v>121.90000000000009</v>
      </c>
      <c r="W257" s="84"/>
      <c r="X257" s="84"/>
      <c r="Y257" s="85">
        <f t="shared" si="570"/>
        <v>1.4788888888888929</v>
      </c>
      <c r="Z257" s="84"/>
      <c r="AA257" s="82"/>
    </row>
    <row r="258" spans="1:27" s="40" customFormat="1" ht="39.950000000000003" hidden="1" customHeight="1" x14ac:dyDescent="0.25">
      <c r="A258" s="49">
        <v>22</v>
      </c>
      <c r="B258" s="50" t="s">
        <v>43</v>
      </c>
      <c r="C258" s="56" t="str">
        <f t="shared" si="543"/>
        <v>HDKOTE/1714</v>
      </c>
      <c r="D258" s="51" t="s">
        <v>161</v>
      </c>
      <c r="E258" s="55" t="str">
        <f t="shared" si="544"/>
        <v>HKL77</v>
      </c>
      <c r="F258" s="50">
        <f t="shared" si="545"/>
        <v>0.24</v>
      </c>
      <c r="G258" s="49" t="s">
        <v>221</v>
      </c>
      <c r="H258" s="64" t="s">
        <v>222</v>
      </c>
      <c r="I258" s="49">
        <f t="shared" ref="I258:J258" si="575">I257</f>
        <v>3</v>
      </c>
      <c r="J258" s="49" t="str">
        <f t="shared" si="575"/>
        <v>LT 2</v>
      </c>
      <c r="K258" s="84">
        <f>'HKL77'!Q29</f>
        <v>4384.5</v>
      </c>
      <c r="L258" s="84">
        <f>'HKL77'!P29</f>
        <v>4502.6000000000004</v>
      </c>
      <c r="M258" s="84">
        <f t="shared" si="565"/>
        <v>1</v>
      </c>
      <c r="N258" s="84">
        <f t="shared" si="566"/>
        <v>118.10000000000036</v>
      </c>
      <c r="O258" s="84">
        <f>'HKL77'!F29</f>
        <v>291.60000000000002</v>
      </c>
      <c r="P258" s="84">
        <f>'HKL77'!E29</f>
        <v>305.10000000000002</v>
      </c>
      <c r="Q258" s="84">
        <f t="shared" si="548"/>
        <v>1</v>
      </c>
      <c r="R258" s="84">
        <f t="shared" si="567"/>
        <v>13.5</v>
      </c>
      <c r="S258" s="84">
        <f>'HKL77'!K29</f>
        <v>4020.8</v>
      </c>
      <c r="T258" s="84">
        <f>'HKL77'!J29</f>
        <v>4138</v>
      </c>
      <c r="U258" s="84">
        <f t="shared" si="568"/>
        <v>1</v>
      </c>
      <c r="V258" s="84">
        <f t="shared" si="569"/>
        <v>117.19999999999982</v>
      </c>
      <c r="W258" s="84"/>
      <c r="X258" s="84"/>
      <c r="Y258" s="85">
        <f t="shared" si="570"/>
        <v>1.3122222222222264</v>
      </c>
      <c r="Z258" s="84"/>
      <c r="AA258" s="82"/>
    </row>
    <row r="259" spans="1:27" s="40" customFormat="1" ht="39.950000000000003" hidden="1" customHeight="1" x14ac:dyDescent="0.25">
      <c r="A259" s="49">
        <v>23</v>
      </c>
      <c r="B259" s="50" t="s">
        <v>43</v>
      </c>
      <c r="C259" s="56" t="str">
        <f t="shared" si="543"/>
        <v>HDKOTE/1714</v>
      </c>
      <c r="D259" s="51" t="s">
        <v>161</v>
      </c>
      <c r="E259" s="55" t="str">
        <f t="shared" si="544"/>
        <v>HKL77</v>
      </c>
      <c r="F259" s="50">
        <f t="shared" si="545"/>
        <v>0.24</v>
      </c>
      <c r="G259" s="49" t="s">
        <v>221</v>
      </c>
      <c r="H259" s="64" t="s">
        <v>222</v>
      </c>
      <c r="I259" s="49">
        <f t="shared" ref="I259:J259" si="576">I258</f>
        <v>3</v>
      </c>
      <c r="J259" s="49" t="str">
        <f t="shared" si="576"/>
        <v>LT 2</v>
      </c>
      <c r="K259" s="84">
        <f>'HKL77'!Q31</f>
        <v>4502.6000000000004</v>
      </c>
      <c r="L259" s="84">
        <f>'HKL77'!P31</f>
        <v>4621.6000000000004</v>
      </c>
      <c r="M259" s="84">
        <f t="shared" si="565"/>
        <v>1</v>
      </c>
      <c r="N259" s="84">
        <f t="shared" ref="N259:N260" si="577">(L259-K259)*M259</f>
        <v>119</v>
      </c>
      <c r="O259" s="84">
        <f>'HKL77'!F31</f>
        <v>305.10000000000002</v>
      </c>
      <c r="P259" s="84">
        <f>'HKL77'!E31</f>
        <v>320</v>
      </c>
      <c r="Q259" s="84">
        <f t="shared" si="548"/>
        <v>1</v>
      </c>
      <c r="R259" s="84">
        <f t="shared" ref="R259:R260" si="578">(P259-O259)*Q259</f>
        <v>14.899999999999977</v>
      </c>
      <c r="S259" s="84">
        <f>'HKL77'!K31</f>
        <v>4138</v>
      </c>
      <c r="T259" s="84">
        <f>'HKL77'!J31</f>
        <v>4257</v>
      </c>
      <c r="U259" s="84">
        <f t="shared" si="568"/>
        <v>1</v>
      </c>
      <c r="V259" s="84">
        <f t="shared" ref="V259:V260" si="579">(T259-S259)*U259</f>
        <v>119</v>
      </c>
      <c r="W259" s="84"/>
      <c r="X259" s="84"/>
      <c r="Y259" s="85">
        <f t="shared" ref="Y259:Y260" si="580">N259/30/I259</f>
        <v>1.3222222222222222</v>
      </c>
      <c r="Z259" s="84"/>
      <c r="AA259" s="82"/>
    </row>
    <row r="260" spans="1:27" s="40" customFormat="1" ht="39.950000000000003" hidden="1" customHeight="1" x14ac:dyDescent="0.25">
      <c r="A260" s="49">
        <v>24</v>
      </c>
      <c r="B260" s="50" t="s">
        <v>43</v>
      </c>
      <c r="C260" s="56" t="str">
        <f t="shared" si="543"/>
        <v>HDKOTE/1714</v>
      </c>
      <c r="D260" s="51" t="s">
        <v>161</v>
      </c>
      <c r="E260" s="55" t="str">
        <f t="shared" si="544"/>
        <v>HKL77</v>
      </c>
      <c r="F260" s="50">
        <f t="shared" si="545"/>
        <v>0.24</v>
      </c>
      <c r="G260" s="49" t="s">
        <v>221</v>
      </c>
      <c r="H260" s="64" t="s">
        <v>222</v>
      </c>
      <c r="I260" s="49">
        <f t="shared" ref="I260:J260" si="581">I259</f>
        <v>3</v>
      </c>
      <c r="J260" s="49" t="str">
        <f t="shared" si="581"/>
        <v>LT 2</v>
      </c>
      <c r="K260" s="84">
        <f>'HKL77'!Q32</f>
        <v>4621.6000000000004</v>
      </c>
      <c r="L260" s="84">
        <f>'HKL77'!P32</f>
        <v>4741.6000000000004</v>
      </c>
      <c r="M260" s="84">
        <f t="shared" si="565"/>
        <v>1</v>
      </c>
      <c r="N260" s="84">
        <f t="shared" si="577"/>
        <v>120</v>
      </c>
      <c r="O260" s="84">
        <f>'HKL77'!F32</f>
        <v>320</v>
      </c>
      <c r="P260" s="84">
        <f>'HKL77'!E32</f>
        <v>335</v>
      </c>
      <c r="Q260" s="84">
        <f t="shared" si="548"/>
        <v>1</v>
      </c>
      <c r="R260" s="84">
        <f t="shared" si="578"/>
        <v>15</v>
      </c>
      <c r="S260" s="84">
        <f>'HKL77'!K32</f>
        <v>4257</v>
      </c>
      <c r="T260" s="84">
        <f>'HKL77'!J32</f>
        <v>4377</v>
      </c>
      <c r="U260" s="84">
        <f t="shared" si="568"/>
        <v>1</v>
      </c>
      <c r="V260" s="84">
        <f t="shared" si="579"/>
        <v>120</v>
      </c>
      <c r="W260" s="84"/>
      <c r="X260" s="84"/>
      <c r="Y260" s="85">
        <f t="shared" si="580"/>
        <v>1.3333333333333333</v>
      </c>
      <c r="Z260" s="84"/>
      <c r="AA260" s="82"/>
    </row>
    <row r="261" spans="1:27" s="40" customFormat="1" ht="39.950000000000003" hidden="1" customHeight="1" x14ac:dyDescent="0.25">
      <c r="A261" s="49">
        <v>25</v>
      </c>
      <c r="B261" s="50" t="s">
        <v>43</v>
      </c>
      <c r="C261" s="56" t="str">
        <f t="shared" si="543"/>
        <v>HDKOTE/1714</v>
      </c>
      <c r="D261" s="51" t="s">
        <v>161</v>
      </c>
      <c r="E261" s="55" t="str">
        <f t="shared" si="544"/>
        <v>HKL77</v>
      </c>
      <c r="F261" s="50">
        <f t="shared" si="545"/>
        <v>0.24</v>
      </c>
      <c r="G261" s="49" t="s">
        <v>221</v>
      </c>
      <c r="H261" s="64" t="s">
        <v>222</v>
      </c>
      <c r="I261" s="49">
        <f t="shared" ref="I261:J261" si="582">I260</f>
        <v>3</v>
      </c>
      <c r="J261" s="49" t="str">
        <f t="shared" si="582"/>
        <v>LT 2</v>
      </c>
      <c r="K261" s="84">
        <f>'HKL77'!Q33</f>
        <v>4741.6000000000004</v>
      </c>
      <c r="L261" s="84">
        <f>'HKL77'!P33</f>
        <v>4819.6000000000004</v>
      </c>
      <c r="M261" s="84">
        <f t="shared" si="565"/>
        <v>1</v>
      </c>
      <c r="N261" s="84">
        <f t="shared" ref="N261:N265" si="583">(L261-K261)*M261</f>
        <v>78</v>
      </c>
      <c r="O261" s="84">
        <f>'HKL77'!F33</f>
        <v>335</v>
      </c>
      <c r="P261" s="84">
        <f>'HKL77'!E33</f>
        <v>351.3</v>
      </c>
      <c r="Q261" s="84">
        <f t="shared" si="548"/>
        <v>1</v>
      </c>
      <c r="R261" s="84">
        <f t="shared" ref="R261:R265" si="584">(P261-O261)*Q261</f>
        <v>16.300000000000011</v>
      </c>
      <c r="S261" s="84">
        <f>'HKL77'!K33</f>
        <v>4377</v>
      </c>
      <c r="T261" s="84">
        <f>'HKL77'!J33</f>
        <v>4433</v>
      </c>
      <c r="U261" s="84">
        <f t="shared" si="568"/>
        <v>1</v>
      </c>
      <c r="V261" s="84">
        <f t="shared" ref="V261:V265" si="585">(T261-S261)*U261</f>
        <v>56</v>
      </c>
      <c r="W261" s="84"/>
      <c r="X261" s="84"/>
      <c r="Y261" s="85">
        <f t="shared" ref="Y261:Y265" si="586">N261/30/I261</f>
        <v>0.8666666666666667</v>
      </c>
      <c r="Z261" s="84"/>
      <c r="AA261" s="82"/>
    </row>
    <row r="262" spans="1:27" s="40" customFormat="1" ht="39.950000000000003" hidden="1" customHeight="1" x14ac:dyDescent="0.25">
      <c r="A262" s="49">
        <v>26</v>
      </c>
      <c r="B262" s="50" t="s">
        <v>43</v>
      </c>
      <c r="C262" s="56" t="str">
        <f t="shared" si="543"/>
        <v>HDKOTE/1714</v>
      </c>
      <c r="D262" s="51" t="s">
        <v>161</v>
      </c>
      <c r="E262" s="55" t="str">
        <f t="shared" si="544"/>
        <v>HKL77</v>
      </c>
      <c r="F262" s="50">
        <f t="shared" si="545"/>
        <v>0.24</v>
      </c>
      <c r="G262" s="49" t="s">
        <v>221</v>
      </c>
      <c r="H262" s="64" t="s">
        <v>222</v>
      </c>
      <c r="I262" s="49">
        <f t="shared" ref="I262:J262" si="587">I261</f>
        <v>3</v>
      </c>
      <c r="J262" s="49" t="str">
        <f t="shared" si="587"/>
        <v>LT 2</v>
      </c>
      <c r="K262" s="84">
        <f>'HKL77'!Q34</f>
        <v>4819.6000000000004</v>
      </c>
      <c r="L262" s="84">
        <f>'HKL77'!P34</f>
        <v>4877.1000000000004</v>
      </c>
      <c r="M262" s="84">
        <f t="shared" si="565"/>
        <v>1</v>
      </c>
      <c r="N262" s="84">
        <f t="shared" si="583"/>
        <v>57.5</v>
      </c>
      <c r="O262" s="84">
        <f>'HKL77'!F34</f>
        <v>351.3</v>
      </c>
      <c r="P262" s="84">
        <f>'HKL77'!E34</f>
        <v>367.5</v>
      </c>
      <c r="Q262" s="84">
        <f t="shared" si="548"/>
        <v>1</v>
      </c>
      <c r="R262" s="84">
        <f t="shared" si="584"/>
        <v>16.199999999999989</v>
      </c>
      <c r="S262" s="84">
        <f>'HKL77'!K34</f>
        <v>4433</v>
      </c>
      <c r="T262" s="84">
        <f>'HKL77'!J34</f>
        <v>4460.8999999999996</v>
      </c>
      <c r="U262" s="84">
        <f t="shared" si="568"/>
        <v>1</v>
      </c>
      <c r="V262" s="84">
        <f t="shared" si="585"/>
        <v>27.899999999999636</v>
      </c>
      <c r="W262" s="84"/>
      <c r="X262" s="84"/>
      <c r="Y262" s="85">
        <f t="shared" si="586"/>
        <v>0.63888888888888895</v>
      </c>
      <c r="Z262" s="84"/>
      <c r="AA262" s="82"/>
    </row>
    <row r="263" spans="1:27" s="40" customFormat="1" ht="39.950000000000003" hidden="1" customHeight="1" x14ac:dyDescent="0.25">
      <c r="A263" s="49">
        <v>27</v>
      </c>
      <c r="B263" s="50" t="s">
        <v>43</v>
      </c>
      <c r="C263" s="56" t="str">
        <f t="shared" si="543"/>
        <v>HDKOTE/1714</v>
      </c>
      <c r="D263" s="51" t="s">
        <v>161</v>
      </c>
      <c r="E263" s="55" t="str">
        <f t="shared" si="544"/>
        <v>HKL77</v>
      </c>
      <c r="F263" s="50">
        <f t="shared" si="545"/>
        <v>0.24</v>
      </c>
      <c r="G263" s="49" t="s">
        <v>221</v>
      </c>
      <c r="H263" s="64" t="s">
        <v>222</v>
      </c>
      <c r="I263" s="49">
        <f t="shared" ref="I263:J263" si="588">I262</f>
        <v>3</v>
      </c>
      <c r="J263" s="49" t="str">
        <f t="shared" si="588"/>
        <v>LT 2</v>
      </c>
      <c r="K263" s="84">
        <f>'HKL77'!Q35</f>
        <v>4877.1000000000004</v>
      </c>
      <c r="L263" s="84">
        <f>'HKL77'!P35</f>
        <v>4954.8</v>
      </c>
      <c r="M263" s="84">
        <f t="shared" si="565"/>
        <v>1</v>
      </c>
      <c r="N263" s="84">
        <f t="shared" si="583"/>
        <v>77.699999999999818</v>
      </c>
      <c r="O263" s="84">
        <f>'HKL77'!F35</f>
        <v>367.5</v>
      </c>
      <c r="P263" s="84">
        <f>'HKL77'!E35</f>
        <v>382.5</v>
      </c>
      <c r="Q263" s="84">
        <f t="shared" si="548"/>
        <v>1</v>
      </c>
      <c r="R263" s="84">
        <f t="shared" si="584"/>
        <v>15</v>
      </c>
      <c r="S263" s="84">
        <f>'HKL77'!K35</f>
        <v>4460.8999999999996</v>
      </c>
      <c r="T263" s="84">
        <f>'HKL77'!J35</f>
        <v>4528.5</v>
      </c>
      <c r="U263" s="84">
        <f t="shared" si="568"/>
        <v>1</v>
      </c>
      <c r="V263" s="84">
        <f t="shared" si="585"/>
        <v>67.600000000000364</v>
      </c>
      <c r="W263" s="84"/>
      <c r="X263" s="84"/>
      <c r="Y263" s="85">
        <f t="shared" si="586"/>
        <v>0.8633333333333314</v>
      </c>
      <c r="Z263" s="84"/>
      <c r="AA263" s="82"/>
    </row>
    <row r="264" spans="1:27" s="40" customFormat="1" ht="39.950000000000003" hidden="1" customHeight="1" x14ac:dyDescent="0.25">
      <c r="A264" s="49">
        <v>28</v>
      </c>
      <c r="B264" s="50" t="s">
        <v>43</v>
      </c>
      <c r="C264" s="56" t="str">
        <f t="shared" si="543"/>
        <v>HDKOTE/1714</v>
      </c>
      <c r="D264" s="51" t="s">
        <v>161</v>
      </c>
      <c r="E264" s="55" t="str">
        <f t="shared" si="544"/>
        <v>HKL77</v>
      </c>
      <c r="F264" s="50">
        <f t="shared" si="545"/>
        <v>0.24</v>
      </c>
      <c r="G264" s="49" t="s">
        <v>221</v>
      </c>
      <c r="H264" s="64" t="s">
        <v>222</v>
      </c>
      <c r="I264" s="49">
        <f t="shared" ref="I264:J266" si="589">I263</f>
        <v>3</v>
      </c>
      <c r="J264" s="49" t="str">
        <f t="shared" si="589"/>
        <v>LT 2</v>
      </c>
      <c r="K264" s="84">
        <f>'HKL77'!Q36</f>
        <v>4954.8</v>
      </c>
      <c r="L264" s="84">
        <f>'HKL77'!P36</f>
        <v>5040.1000000000004</v>
      </c>
      <c r="M264" s="84">
        <f t="shared" si="565"/>
        <v>1</v>
      </c>
      <c r="N264" s="84">
        <f t="shared" si="583"/>
        <v>85.300000000000182</v>
      </c>
      <c r="O264" s="84">
        <f>'HKL77'!F36</f>
        <v>382.5</v>
      </c>
      <c r="P264" s="84">
        <f>'HKL77'!E36</f>
        <v>397.5</v>
      </c>
      <c r="Q264" s="84">
        <f t="shared" si="548"/>
        <v>1</v>
      </c>
      <c r="R264" s="84">
        <f t="shared" si="584"/>
        <v>15</v>
      </c>
      <c r="S264" s="84">
        <f>'HKL77'!K36</f>
        <v>4528.5</v>
      </c>
      <c r="T264" s="84">
        <f>'HKL77'!J36</f>
        <v>4607.7</v>
      </c>
      <c r="U264" s="84">
        <f t="shared" si="568"/>
        <v>1</v>
      </c>
      <c r="V264" s="84">
        <f t="shared" si="585"/>
        <v>79.199999999999818</v>
      </c>
      <c r="W264" s="84">
        <f>'HKL77'!U36</f>
        <v>1.74</v>
      </c>
      <c r="X264" s="84">
        <f>'HKL77'!V36</f>
        <v>0.93</v>
      </c>
      <c r="Y264" s="85">
        <f t="shared" si="586"/>
        <v>0.94777777777777983</v>
      </c>
      <c r="Z264" s="84"/>
      <c r="AA264" s="82"/>
    </row>
    <row r="265" spans="1:27" s="40" customFormat="1" ht="39.950000000000003" hidden="1" customHeight="1" x14ac:dyDescent="0.25">
      <c r="A265" s="49">
        <v>29</v>
      </c>
      <c r="B265" s="50" t="s">
        <v>43</v>
      </c>
      <c r="C265" s="56" t="str">
        <f t="shared" si="543"/>
        <v>HDKOTE/1714</v>
      </c>
      <c r="D265" s="51" t="s">
        <v>161</v>
      </c>
      <c r="E265" s="55" t="str">
        <f t="shared" si="544"/>
        <v>HKL77</v>
      </c>
      <c r="F265" s="50">
        <f t="shared" si="545"/>
        <v>0.24</v>
      </c>
      <c r="G265" s="49" t="s">
        <v>221</v>
      </c>
      <c r="H265" s="64" t="s">
        <v>222</v>
      </c>
      <c r="I265" s="49">
        <f t="shared" ref="I265:J265" si="590">I264</f>
        <v>3</v>
      </c>
      <c r="J265" s="49" t="str">
        <f t="shared" si="590"/>
        <v>LT 2</v>
      </c>
      <c r="K265" s="84">
        <f>'HKL77'!Q37</f>
        <v>5040.1000000000004</v>
      </c>
      <c r="L265" s="84">
        <f>'HKL77'!P37</f>
        <v>5135.7</v>
      </c>
      <c r="M265" s="84">
        <f t="shared" si="565"/>
        <v>1</v>
      </c>
      <c r="N265" s="84">
        <f t="shared" si="583"/>
        <v>95.599999999999454</v>
      </c>
      <c r="O265" s="84">
        <f>'HKL77'!F37</f>
        <v>397.5</v>
      </c>
      <c r="P265" s="84">
        <f>'HKL77'!E37</f>
        <v>412.8</v>
      </c>
      <c r="Q265" s="84">
        <f t="shared" si="548"/>
        <v>1</v>
      </c>
      <c r="R265" s="84">
        <f t="shared" si="584"/>
        <v>15.300000000000011</v>
      </c>
      <c r="S265" s="84">
        <f>'HKL77'!K37</f>
        <v>4607.7</v>
      </c>
      <c r="T265" s="84">
        <f>'HKL77'!J37</f>
        <v>4680.6000000000004</v>
      </c>
      <c r="U265" s="84">
        <f t="shared" si="568"/>
        <v>1</v>
      </c>
      <c r="V265" s="84">
        <f t="shared" si="585"/>
        <v>72.900000000000546</v>
      </c>
      <c r="W265" s="84">
        <f>'HKL77'!U37</f>
        <v>0.04</v>
      </c>
      <c r="X265" s="84">
        <f>'HKL77'!V37</f>
        <v>0.82</v>
      </c>
      <c r="Y265" s="85">
        <f t="shared" si="586"/>
        <v>1.0622222222222162</v>
      </c>
      <c r="Z265" s="84"/>
      <c r="AA265" s="82"/>
    </row>
    <row r="266" spans="1:27" s="40" customFormat="1" ht="39.950000000000003" customHeight="1" x14ac:dyDescent="0.25">
      <c r="A266" s="49">
        <v>30</v>
      </c>
      <c r="B266" s="50" t="s">
        <v>43</v>
      </c>
      <c r="C266" s="56" t="str">
        <f t="shared" si="543"/>
        <v>HDKOTE/1714</v>
      </c>
      <c r="D266" s="51" t="s">
        <v>161</v>
      </c>
      <c r="E266" s="55" t="str">
        <f t="shared" si="544"/>
        <v>HKL77</v>
      </c>
      <c r="F266" s="50">
        <f t="shared" si="545"/>
        <v>0.24</v>
      </c>
      <c r="G266" s="49" t="s">
        <v>221</v>
      </c>
      <c r="H266" s="64" t="s">
        <v>222</v>
      </c>
      <c r="I266" s="49">
        <f t="shared" si="589"/>
        <v>3</v>
      </c>
      <c r="J266" s="49" t="str">
        <f t="shared" si="589"/>
        <v>LT 2</v>
      </c>
      <c r="K266" s="84">
        <f>'HKL77'!Q38</f>
        <v>5135.7</v>
      </c>
      <c r="L266" s="84">
        <f>'HKL77'!P38</f>
        <v>5193</v>
      </c>
      <c r="M266" s="84">
        <f t="shared" si="565"/>
        <v>1</v>
      </c>
      <c r="N266" s="84">
        <f t="shared" ref="N266" si="591">(L266-K266)*M266</f>
        <v>57.300000000000182</v>
      </c>
      <c r="O266" s="84">
        <f>'HKL77'!F38</f>
        <v>412.8</v>
      </c>
      <c r="P266" s="84">
        <f>'HKL77'!E38</f>
        <v>429.1</v>
      </c>
      <c r="Q266" s="84">
        <f t="shared" si="548"/>
        <v>1</v>
      </c>
      <c r="R266" s="84">
        <f t="shared" ref="R266" si="592">(P266-O266)*Q266</f>
        <v>16.300000000000011</v>
      </c>
      <c r="S266" s="84">
        <f>'HKL77'!K38</f>
        <v>4680.6000000000004</v>
      </c>
      <c r="T266" s="84">
        <f>'HKL77'!J38</f>
        <v>4743.1000000000004</v>
      </c>
      <c r="U266" s="84">
        <f t="shared" si="568"/>
        <v>1</v>
      </c>
      <c r="V266" s="84">
        <f t="shared" ref="V266" si="593">(T266-S266)*U266</f>
        <v>62.5</v>
      </c>
      <c r="W266" s="84">
        <f>'HKL77'!U38</f>
        <v>1.74</v>
      </c>
      <c r="X266" s="84">
        <f>'HKL77'!V38</f>
        <v>0.93</v>
      </c>
      <c r="Y266" s="85">
        <f t="shared" ref="Y266:Y268" si="594">N266/30/I266</f>
        <v>0.63666666666666871</v>
      </c>
      <c r="Z266" s="84"/>
      <c r="AA266" s="82"/>
    </row>
    <row r="267" spans="1:27" s="40" customFormat="1" ht="39.950000000000003" hidden="1" customHeight="1" x14ac:dyDescent="0.25">
      <c r="A267" s="49">
        <v>31</v>
      </c>
      <c r="B267" s="50" t="s">
        <v>43</v>
      </c>
      <c r="C267" s="56" t="str">
        <f t="shared" si="543"/>
        <v>HDKOTE/1714</v>
      </c>
      <c r="D267" s="51" t="s">
        <v>161</v>
      </c>
      <c r="E267" s="55" t="str">
        <f t="shared" si="544"/>
        <v>HKL77</v>
      </c>
      <c r="F267" s="50">
        <f t="shared" si="545"/>
        <v>0.24</v>
      </c>
      <c r="G267" s="49" t="s">
        <v>221</v>
      </c>
      <c r="H267" s="64" t="s">
        <v>222</v>
      </c>
      <c r="I267" s="49">
        <f t="shared" ref="I267:J267" si="595">I266</f>
        <v>3</v>
      </c>
      <c r="J267" s="49" t="str">
        <f t="shared" si="595"/>
        <v>LT 2</v>
      </c>
      <c r="K267" s="84">
        <f>'HKL77'!Q72</f>
        <v>0</v>
      </c>
      <c r="L267" s="84">
        <f>'HKL77'!P72</f>
        <v>0</v>
      </c>
      <c r="M267" s="84">
        <f t="shared" si="565"/>
        <v>1</v>
      </c>
      <c r="N267" s="84">
        <f t="shared" ref="N267:N268" si="596">(L267-K267)*M267</f>
        <v>0</v>
      </c>
      <c r="O267" s="84">
        <f>'HKL77'!F72</f>
        <v>0</v>
      </c>
      <c r="P267" s="84">
        <f>'HKL77'!E72</f>
        <v>0</v>
      </c>
      <c r="Q267" s="84">
        <f t="shared" si="548"/>
        <v>1</v>
      </c>
      <c r="R267" s="84">
        <f t="shared" ref="R267:R268" si="597">(P267-O267)*Q267</f>
        <v>0</v>
      </c>
      <c r="S267" s="84">
        <f>'HKL77'!K72</f>
        <v>0</v>
      </c>
      <c r="T267" s="84">
        <f>'HKL77'!J72</f>
        <v>0</v>
      </c>
      <c r="U267" s="84">
        <f t="shared" si="568"/>
        <v>1</v>
      </c>
      <c r="V267" s="84">
        <f t="shared" ref="V267:V268" si="598">(T267-S267)*U267</f>
        <v>0</v>
      </c>
      <c r="W267" s="84"/>
      <c r="X267" s="84"/>
      <c r="Y267" s="85">
        <f t="shared" si="594"/>
        <v>0</v>
      </c>
      <c r="Z267" s="84"/>
      <c r="AA267" s="82"/>
    </row>
    <row r="268" spans="1:27" s="40" customFormat="1" ht="39.950000000000003" hidden="1" customHeight="1" x14ac:dyDescent="0.25">
      <c r="A268" s="49">
        <v>32</v>
      </c>
      <c r="B268" s="50" t="s">
        <v>43</v>
      </c>
      <c r="C268" s="56" t="str">
        <f t="shared" si="543"/>
        <v>HDKOTE/1714</v>
      </c>
      <c r="D268" s="51" t="s">
        <v>161</v>
      </c>
      <c r="E268" s="55" t="str">
        <f t="shared" si="544"/>
        <v>HKL77</v>
      </c>
      <c r="F268" s="50">
        <f t="shared" si="545"/>
        <v>0.24</v>
      </c>
      <c r="G268" s="49" t="s">
        <v>221</v>
      </c>
      <c r="H268" s="64" t="s">
        <v>222</v>
      </c>
      <c r="I268" s="49">
        <f t="shared" ref="I268:J268" si="599">I267</f>
        <v>3</v>
      </c>
      <c r="J268" s="49" t="str">
        <f t="shared" si="599"/>
        <v>LT 2</v>
      </c>
      <c r="K268" s="84">
        <f>'HKL77'!Q73</f>
        <v>0</v>
      </c>
      <c r="L268" s="84">
        <f>'HKL77'!P73</f>
        <v>0</v>
      </c>
      <c r="M268" s="84">
        <f t="shared" si="565"/>
        <v>1</v>
      </c>
      <c r="N268" s="84">
        <f t="shared" si="596"/>
        <v>0</v>
      </c>
      <c r="O268" s="84">
        <f>'HKL77'!F73</f>
        <v>0</v>
      </c>
      <c r="P268" s="84">
        <f>'HKL77'!E73</f>
        <v>0</v>
      </c>
      <c r="Q268" s="84">
        <f t="shared" si="548"/>
        <v>1</v>
      </c>
      <c r="R268" s="84">
        <f t="shared" si="597"/>
        <v>0</v>
      </c>
      <c r="S268" s="84">
        <f>'HKL77'!K73</f>
        <v>0</v>
      </c>
      <c r="T268" s="84">
        <f>'HKL77'!J73</f>
        <v>0</v>
      </c>
      <c r="U268" s="84">
        <f t="shared" si="568"/>
        <v>1</v>
      </c>
      <c r="V268" s="84">
        <f t="shared" si="598"/>
        <v>0</v>
      </c>
      <c r="W268" s="84"/>
      <c r="X268" s="84"/>
      <c r="Y268" s="85">
        <f t="shared" si="594"/>
        <v>0</v>
      </c>
      <c r="Z268" s="84"/>
      <c r="AA268" s="82"/>
    </row>
    <row r="269" spans="1:27" s="40" customFormat="1" ht="39.950000000000003" hidden="1" customHeight="1" x14ac:dyDescent="0.25">
      <c r="A269" s="49"/>
      <c r="B269" s="50"/>
      <c r="C269" s="56"/>
      <c r="D269" s="51"/>
      <c r="E269" s="55"/>
      <c r="F269" s="50"/>
      <c r="G269" s="49"/>
      <c r="H269" s="64"/>
      <c r="I269" s="49"/>
      <c r="J269" s="49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5"/>
      <c r="Z269" s="84"/>
      <c r="AA269" s="82"/>
    </row>
    <row r="270" spans="1:27" s="40" customFormat="1" ht="39.950000000000003" hidden="1" customHeight="1" x14ac:dyDescent="0.25">
      <c r="A270" s="49">
        <v>1</v>
      </c>
      <c r="B270" s="50" t="s">
        <v>43</v>
      </c>
      <c r="C270" s="56" t="s">
        <v>229</v>
      </c>
      <c r="D270" s="51" t="s">
        <v>168</v>
      </c>
      <c r="E270" s="55" t="s">
        <v>167</v>
      </c>
      <c r="F270" s="50">
        <v>0.24</v>
      </c>
      <c r="G270" s="49" t="s">
        <v>221</v>
      </c>
      <c r="H270" s="64" t="s">
        <v>222</v>
      </c>
      <c r="I270" s="49">
        <v>3</v>
      </c>
      <c r="J270" s="49" t="s">
        <v>224</v>
      </c>
      <c r="K270" s="84">
        <f>'HKL279'!Q8</f>
        <v>1493.6</v>
      </c>
      <c r="L270" s="84">
        <f>'HKL279'!P8</f>
        <v>1675.3</v>
      </c>
      <c r="M270" s="84">
        <f>'[1]April-18'!M14</f>
        <v>1</v>
      </c>
      <c r="N270" s="84">
        <f t="shared" si="0"/>
        <v>181.70000000000005</v>
      </c>
      <c r="O270" s="84">
        <f>'HKL279'!F8</f>
        <v>92.1</v>
      </c>
      <c r="P270" s="84">
        <f>'HKL279'!E8</f>
        <v>191</v>
      </c>
      <c r="Q270" s="84">
        <v>1</v>
      </c>
      <c r="R270" s="84">
        <f t="shared" si="7"/>
        <v>98.9</v>
      </c>
      <c r="S270" s="84">
        <f>'HKL279'!K8</f>
        <v>105.2</v>
      </c>
      <c r="T270" s="84">
        <f>'HKL279'!J8</f>
        <v>227.6</v>
      </c>
      <c r="U270" s="84">
        <f>'[1]April-18'!U14</f>
        <v>1</v>
      </c>
      <c r="V270" s="84">
        <f t="shared" si="8"/>
        <v>122.39999999999999</v>
      </c>
      <c r="W270" s="84"/>
      <c r="X270" s="84"/>
      <c r="Y270" s="85">
        <f t="shared" si="87"/>
        <v>2.0188888888888896</v>
      </c>
      <c r="Z270" s="84"/>
      <c r="AA270" s="82" t="str">
        <f>'HKL279'!B8</f>
        <v>01.08.2019</v>
      </c>
    </row>
    <row r="271" spans="1:27" s="40" customFormat="1" ht="39.950000000000003" hidden="1" customHeight="1" x14ac:dyDescent="0.25">
      <c r="A271" s="49">
        <v>2</v>
      </c>
      <c r="B271" s="50" t="s">
        <v>43</v>
      </c>
      <c r="C271" s="56" t="str">
        <f>C270</f>
        <v>HDKOTE/1714</v>
      </c>
      <c r="D271" s="51" t="s">
        <v>168</v>
      </c>
      <c r="E271" s="55" t="str">
        <f>E270</f>
        <v>HKL279</v>
      </c>
      <c r="F271" s="50">
        <f>F270</f>
        <v>0.24</v>
      </c>
      <c r="G271" s="49" t="s">
        <v>221</v>
      </c>
      <c r="H271" s="64" t="s">
        <v>222</v>
      </c>
      <c r="I271" s="49">
        <f>I270</f>
        <v>3</v>
      </c>
      <c r="J271" s="49" t="str">
        <f>J270</f>
        <v>LT 3</v>
      </c>
      <c r="K271" s="84">
        <f>'HKL279'!Q9</f>
        <v>1675.3</v>
      </c>
      <c r="L271" s="84">
        <f>'HKL279'!P9</f>
        <v>1841</v>
      </c>
      <c r="M271" s="84">
        <f>'[1]April-18'!M15</f>
        <v>1</v>
      </c>
      <c r="N271" s="84">
        <f>(L271-K271)*M271</f>
        <v>165.70000000000005</v>
      </c>
      <c r="O271" s="84">
        <f>'HKL279'!F9</f>
        <v>191</v>
      </c>
      <c r="P271" s="84">
        <f>'HKL279'!E9</f>
        <v>290</v>
      </c>
      <c r="Q271" s="84">
        <f>Q270</f>
        <v>1</v>
      </c>
      <c r="R271" s="84">
        <f>(P271-O271)*Q271</f>
        <v>99</v>
      </c>
      <c r="S271" s="84">
        <f>'HKL279'!K9</f>
        <v>227.6</v>
      </c>
      <c r="T271" s="84">
        <f>'HKL279'!J9</f>
        <v>332</v>
      </c>
      <c r="U271" s="84">
        <f>'[1]April-18'!U15</f>
        <v>1</v>
      </c>
      <c r="V271" s="84">
        <f>(T271-S271)*U271</f>
        <v>104.4</v>
      </c>
      <c r="W271" s="84"/>
      <c r="X271" s="84"/>
      <c r="Y271" s="85">
        <f t="shared" si="87"/>
        <v>1.8411111111111118</v>
      </c>
      <c r="Z271" s="84"/>
      <c r="AA271" s="82" t="str">
        <f>'HKL279'!B9</f>
        <v>01.09.2019</v>
      </c>
    </row>
    <row r="272" spans="1:27" s="40" customFormat="1" ht="39.950000000000003" hidden="1" customHeight="1" x14ac:dyDescent="0.25">
      <c r="A272" s="49">
        <v>3</v>
      </c>
      <c r="B272" s="50" t="s">
        <v>43</v>
      </c>
      <c r="C272" s="56" t="str">
        <f>C271</f>
        <v>HDKOTE/1714</v>
      </c>
      <c r="D272" s="51" t="s">
        <v>168</v>
      </c>
      <c r="E272" s="55" t="str">
        <f>E271</f>
        <v>HKL279</v>
      </c>
      <c r="F272" s="50">
        <f>F271</f>
        <v>0.24</v>
      </c>
      <c r="G272" s="49" t="s">
        <v>221</v>
      </c>
      <c r="H272" s="64" t="s">
        <v>222</v>
      </c>
      <c r="I272" s="49">
        <f>I271</f>
        <v>3</v>
      </c>
      <c r="J272" s="49" t="str">
        <f>J271</f>
        <v>LT 3</v>
      </c>
      <c r="K272" s="84">
        <f>'HKL279'!Q10</f>
        <v>1841</v>
      </c>
      <c r="L272" s="84">
        <f>'HKL279'!P10</f>
        <v>2047.9</v>
      </c>
      <c r="M272" s="84">
        <f>'[1]April-18'!M16</f>
        <v>1</v>
      </c>
      <c r="N272" s="84">
        <f>(L272-K272)*M272</f>
        <v>206.90000000000009</v>
      </c>
      <c r="O272" s="84">
        <f>'HKL279'!F10</f>
        <v>290</v>
      </c>
      <c r="P272" s="84">
        <f>'HKL279'!E10</f>
        <v>393</v>
      </c>
      <c r="Q272" s="84">
        <f>Q271</f>
        <v>1</v>
      </c>
      <c r="R272" s="84">
        <f>(P272-O272)*Q272</f>
        <v>103</v>
      </c>
      <c r="S272" s="84">
        <f>'HKL279'!K10</f>
        <v>332</v>
      </c>
      <c r="T272" s="84">
        <f>'HKL279'!J10</f>
        <v>464</v>
      </c>
      <c r="U272" s="84">
        <f>'[1]April-18'!U16</f>
        <v>1</v>
      </c>
      <c r="V272" s="84">
        <f>(T272-S272)*U272</f>
        <v>132</v>
      </c>
      <c r="W272" s="84"/>
      <c r="X272" s="84"/>
      <c r="Y272" s="85">
        <f t="shared" si="87"/>
        <v>2.2988888888888899</v>
      </c>
      <c r="Z272" s="84"/>
      <c r="AA272" s="82" t="str">
        <f>'HKL279'!B10</f>
        <v>01.10.2019</v>
      </c>
    </row>
    <row r="273" spans="1:27" s="40" customFormat="1" ht="39.950000000000003" hidden="1" customHeight="1" x14ac:dyDescent="0.25">
      <c r="A273" s="49">
        <v>4</v>
      </c>
      <c r="B273" s="50" t="s">
        <v>43</v>
      </c>
      <c r="C273" s="56" t="str">
        <f t="shared" ref="C273:C301" si="600">C272</f>
        <v>HDKOTE/1714</v>
      </c>
      <c r="D273" s="51" t="s">
        <v>168</v>
      </c>
      <c r="E273" s="55" t="str">
        <f t="shared" ref="E273:F276" si="601">E272</f>
        <v>HKL279</v>
      </c>
      <c r="F273" s="50">
        <f t="shared" si="601"/>
        <v>0.24</v>
      </c>
      <c r="G273" s="49" t="s">
        <v>221</v>
      </c>
      <c r="H273" s="64" t="s">
        <v>222</v>
      </c>
      <c r="I273" s="49">
        <f t="shared" ref="I273:J276" si="602">I272</f>
        <v>3</v>
      </c>
      <c r="J273" s="49" t="str">
        <f t="shared" si="602"/>
        <v>LT 3</v>
      </c>
      <c r="K273" s="84">
        <f>'HKL279'!Q11</f>
        <v>2047.9</v>
      </c>
      <c r="L273" s="84">
        <f>'HKL279'!P11</f>
        <v>2229.4</v>
      </c>
      <c r="M273" s="84">
        <f>'[1]April-18'!M17</f>
        <v>1</v>
      </c>
      <c r="N273" s="84">
        <f t="shared" ref="N273:N276" si="603">(L273-K273)*M273</f>
        <v>181.5</v>
      </c>
      <c r="O273" s="84">
        <f>'HKL279'!F11</f>
        <v>393</v>
      </c>
      <c r="P273" s="84">
        <f>'HKL279'!E11</f>
        <v>498.5</v>
      </c>
      <c r="Q273" s="84">
        <f t="shared" ref="Q273:Q301" si="604">Q272</f>
        <v>1</v>
      </c>
      <c r="R273" s="84">
        <f t="shared" ref="R273:R276" si="605">(P273-O273)*Q273</f>
        <v>105.5</v>
      </c>
      <c r="S273" s="84">
        <f>'HKL279'!K11</f>
        <v>464</v>
      </c>
      <c r="T273" s="84">
        <f>'HKL279'!J11</f>
        <v>601.20000000000005</v>
      </c>
      <c r="U273" s="84">
        <f>'[1]April-18'!U17</f>
        <v>1</v>
      </c>
      <c r="V273" s="84">
        <f t="shared" ref="V273:V276" si="606">(T273-S273)*U273</f>
        <v>137.20000000000005</v>
      </c>
      <c r="W273" s="84"/>
      <c r="X273" s="84"/>
      <c r="Y273" s="85">
        <f t="shared" si="87"/>
        <v>2.0166666666666666</v>
      </c>
      <c r="Z273" s="84"/>
      <c r="AA273" s="82" t="str">
        <f>'HKL279'!B11</f>
        <v>01.11.2019</v>
      </c>
    </row>
    <row r="274" spans="1:27" s="40" customFormat="1" ht="39.950000000000003" hidden="1" customHeight="1" x14ac:dyDescent="0.25">
      <c r="A274" s="49">
        <v>5</v>
      </c>
      <c r="B274" s="50" t="s">
        <v>43</v>
      </c>
      <c r="C274" s="56" t="str">
        <f t="shared" si="600"/>
        <v>HDKOTE/1714</v>
      </c>
      <c r="D274" s="51" t="s">
        <v>168</v>
      </c>
      <c r="E274" s="55" t="str">
        <f t="shared" si="601"/>
        <v>HKL279</v>
      </c>
      <c r="F274" s="50">
        <f t="shared" si="601"/>
        <v>0.24</v>
      </c>
      <c r="G274" s="49" t="s">
        <v>221</v>
      </c>
      <c r="H274" s="64" t="s">
        <v>222</v>
      </c>
      <c r="I274" s="49">
        <f t="shared" si="602"/>
        <v>3</v>
      </c>
      <c r="J274" s="49" t="str">
        <f t="shared" si="602"/>
        <v>LT 3</v>
      </c>
      <c r="K274" s="84">
        <f>'HKL279'!Q12</f>
        <v>2229.4</v>
      </c>
      <c r="L274" s="84">
        <f>'HKL279'!P12</f>
        <v>2412.4</v>
      </c>
      <c r="M274" s="84">
        <f>'[1]April-18'!M18</f>
        <v>1</v>
      </c>
      <c r="N274" s="84">
        <f t="shared" si="603"/>
        <v>183</v>
      </c>
      <c r="O274" s="84">
        <f>'HKL279'!F12</f>
        <v>498.5</v>
      </c>
      <c r="P274" s="84">
        <f>'HKL279'!E12</f>
        <v>616.4</v>
      </c>
      <c r="Q274" s="84">
        <f t="shared" si="604"/>
        <v>1</v>
      </c>
      <c r="R274" s="84">
        <f t="shared" si="605"/>
        <v>117.89999999999998</v>
      </c>
      <c r="S274" s="84">
        <f>'HKL279'!K12</f>
        <v>601.20000000000005</v>
      </c>
      <c r="T274" s="84">
        <f>'HKL279'!J12</f>
        <v>707.4</v>
      </c>
      <c r="U274" s="84">
        <f>'[1]April-18'!U18</f>
        <v>1</v>
      </c>
      <c r="V274" s="84">
        <f t="shared" si="606"/>
        <v>106.19999999999993</v>
      </c>
      <c r="W274" s="84"/>
      <c r="X274" s="84"/>
      <c r="Y274" s="85">
        <f t="shared" si="87"/>
        <v>2.0333333333333332</v>
      </c>
      <c r="Z274" s="84"/>
      <c r="AA274" s="82" t="str">
        <f>'HKL279'!B12</f>
        <v>01.12.2019</v>
      </c>
    </row>
    <row r="275" spans="1:27" s="40" customFormat="1" ht="39.950000000000003" hidden="1" customHeight="1" x14ac:dyDescent="0.25">
      <c r="A275" s="49">
        <v>6</v>
      </c>
      <c r="B275" s="50" t="s">
        <v>43</v>
      </c>
      <c r="C275" s="56" t="str">
        <f t="shared" si="600"/>
        <v>HDKOTE/1714</v>
      </c>
      <c r="D275" s="51" t="s">
        <v>168</v>
      </c>
      <c r="E275" s="55" t="str">
        <f t="shared" si="601"/>
        <v>HKL279</v>
      </c>
      <c r="F275" s="50">
        <f t="shared" si="601"/>
        <v>0.24</v>
      </c>
      <c r="G275" s="49" t="s">
        <v>221</v>
      </c>
      <c r="H275" s="64" t="s">
        <v>222</v>
      </c>
      <c r="I275" s="49">
        <f t="shared" si="602"/>
        <v>3</v>
      </c>
      <c r="J275" s="49" t="str">
        <f t="shared" si="602"/>
        <v>LT 3</v>
      </c>
      <c r="K275" s="84">
        <f>'HKL279'!Q13</f>
        <v>2412.4</v>
      </c>
      <c r="L275" s="84">
        <f>'HKL279'!P13</f>
        <v>2537.8000000000002</v>
      </c>
      <c r="M275" s="84">
        <f>'[1]April-18'!M19</f>
        <v>1</v>
      </c>
      <c r="N275" s="84">
        <f t="shared" si="603"/>
        <v>125.40000000000009</v>
      </c>
      <c r="O275" s="84">
        <f>'HKL279'!F13</f>
        <v>616.4</v>
      </c>
      <c r="P275" s="84">
        <f>'HKL279'!E13</f>
        <v>718</v>
      </c>
      <c r="Q275" s="84">
        <f t="shared" si="604"/>
        <v>1</v>
      </c>
      <c r="R275" s="84">
        <f t="shared" si="605"/>
        <v>101.60000000000002</v>
      </c>
      <c r="S275" s="84">
        <f>'HKL279'!K13</f>
        <v>707.4</v>
      </c>
      <c r="T275" s="84">
        <f>'HKL279'!J13</f>
        <v>794</v>
      </c>
      <c r="U275" s="84">
        <f>'[1]April-18'!U19</f>
        <v>1</v>
      </c>
      <c r="V275" s="84">
        <f t="shared" si="606"/>
        <v>86.600000000000023</v>
      </c>
      <c r="W275" s="84"/>
      <c r="X275" s="84"/>
      <c r="Y275" s="85">
        <f t="shared" si="87"/>
        <v>1.3933333333333344</v>
      </c>
      <c r="Z275" s="84"/>
      <c r="AA275" s="82" t="str">
        <f>'HKL279'!B13</f>
        <v>01.01.2020</v>
      </c>
    </row>
    <row r="276" spans="1:27" s="40" customFormat="1" ht="39.950000000000003" hidden="1" customHeight="1" x14ac:dyDescent="0.25">
      <c r="A276" s="49">
        <v>7</v>
      </c>
      <c r="B276" s="50" t="s">
        <v>43</v>
      </c>
      <c r="C276" s="56" t="str">
        <f t="shared" si="600"/>
        <v>HDKOTE/1714</v>
      </c>
      <c r="D276" s="51" t="s">
        <v>168</v>
      </c>
      <c r="E276" s="55" t="str">
        <f t="shared" si="601"/>
        <v>HKL279</v>
      </c>
      <c r="F276" s="50">
        <f t="shared" si="601"/>
        <v>0.24</v>
      </c>
      <c r="G276" s="49" t="s">
        <v>221</v>
      </c>
      <c r="H276" s="64" t="s">
        <v>222</v>
      </c>
      <c r="I276" s="49">
        <f t="shared" si="602"/>
        <v>3</v>
      </c>
      <c r="J276" s="49" t="str">
        <f t="shared" si="602"/>
        <v>LT 3</v>
      </c>
      <c r="K276" s="84">
        <f>'HKL279'!Q14</f>
        <v>2537.8000000000002</v>
      </c>
      <c r="L276" s="84">
        <f>'HKL279'!P14</f>
        <v>2647</v>
      </c>
      <c r="M276" s="84">
        <f>'[1]April-18'!M20</f>
        <v>1</v>
      </c>
      <c r="N276" s="84">
        <f t="shared" si="603"/>
        <v>109.19999999999982</v>
      </c>
      <c r="O276" s="84">
        <f>'HKL279'!F14</f>
        <v>718</v>
      </c>
      <c r="P276" s="84">
        <f>'HKL279'!E14</f>
        <v>832.7</v>
      </c>
      <c r="Q276" s="84">
        <f t="shared" si="604"/>
        <v>1</v>
      </c>
      <c r="R276" s="84">
        <f t="shared" si="605"/>
        <v>114.70000000000005</v>
      </c>
      <c r="S276" s="84">
        <f>'HKL279'!K14</f>
        <v>794</v>
      </c>
      <c r="T276" s="84">
        <f>'HKL279'!J14</f>
        <v>854.9</v>
      </c>
      <c r="U276" s="84">
        <f>'[1]April-18'!U20</f>
        <v>1</v>
      </c>
      <c r="V276" s="84">
        <f t="shared" si="606"/>
        <v>60.899999999999977</v>
      </c>
      <c r="W276" s="84"/>
      <c r="X276" s="84"/>
      <c r="Y276" s="85">
        <f t="shared" si="87"/>
        <v>1.2133333333333314</v>
      </c>
      <c r="Z276" s="84"/>
      <c r="AA276" s="82" t="s">
        <v>253</v>
      </c>
    </row>
    <row r="277" spans="1:27" s="40" customFormat="1" ht="39.950000000000003" hidden="1" customHeight="1" x14ac:dyDescent="0.25">
      <c r="A277" s="49">
        <v>8</v>
      </c>
      <c r="B277" s="50" t="s">
        <v>43</v>
      </c>
      <c r="C277" s="56" t="str">
        <f>C276</f>
        <v>HDKOTE/1714</v>
      </c>
      <c r="D277" s="51" t="s">
        <v>168</v>
      </c>
      <c r="E277" s="55" t="str">
        <f>E276</f>
        <v>HKL279</v>
      </c>
      <c r="F277" s="50">
        <f>F276</f>
        <v>0.24</v>
      </c>
      <c r="G277" s="49" t="s">
        <v>221</v>
      </c>
      <c r="H277" s="64" t="s">
        <v>222</v>
      </c>
      <c r="I277" s="49">
        <f>I276</f>
        <v>3</v>
      </c>
      <c r="J277" s="49" t="str">
        <f>J276</f>
        <v>LT 3</v>
      </c>
      <c r="K277" s="84">
        <f>'HKL279'!Q15</f>
        <v>2647</v>
      </c>
      <c r="L277" s="84">
        <f>'HKL279'!P15</f>
        <v>2775</v>
      </c>
      <c r="M277" s="84">
        <f>'[1]April-18'!M21</f>
        <v>1</v>
      </c>
      <c r="N277" s="84">
        <f t="shared" ref="N277:N282" si="607">(L277-K277)*M277</f>
        <v>128</v>
      </c>
      <c r="O277" s="84">
        <f>'HKL279'!F15</f>
        <v>832.7</v>
      </c>
      <c r="P277" s="84">
        <f>'HKL279'!E15</f>
        <v>944.2</v>
      </c>
      <c r="Q277" s="84">
        <f>Q276</f>
        <v>1</v>
      </c>
      <c r="R277" s="84">
        <f t="shared" ref="R277:R282" si="608">(P277-O277)*Q277</f>
        <v>111.5</v>
      </c>
      <c r="S277" s="84">
        <f>'HKL279'!K15</f>
        <v>854.9</v>
      </c>
      <c r="T277" s="84">
        <f>'HKL279'!J15</f>
        <v>917.7</v>
      </c>
      <c r="U277" s="84">
        <f>'[1]April-18'!U21</f>
        <v>1</v>
      </c>
      <c r="V277" s="84">
        <f t="shared" ref="V277:V282" si="609">(T277-S277)*U277</f>
        <v>62.800000000000068</v>
      </c>
      <c r="W277" s="84"/>
      <c r="X277" s="84"/>
      <c r="Y277" s="85">
        <f t="shared" ref="Y277:Y282" si="610">N277/30/I277</f>
        <v>1.4222222222222223</v>
      </c>
      <c r="Z277" s="84"/>
      <c r="AA277" s="82" t="s">
        <v>254</v>
      </c>
    </row>
    <row r="278" spans="1:27" s="40" customFormat="1" ht="39.950000000000003" hidden="1" customHeight="1" x14ac:dyDescent="0.25">
      <c r="A278" s="49">
        <v>9</v>
      </c>
      <c r="B278" s="50" t="s">
        <v>43</v>
      </c>
      <c r="C278" s="56" t="str">
        <f t="shared" si="600"/>
        <v>HDKOTE/1714</v>
      </c>
      <c r="D278" s="51" t="s">
        <v>168</v>
      </c>
      <c r="E278" s="55" t="str">
        <f t="shared" ref="E278:F278" si="611">E277</f>
        <v>HKL279</v>
      </c>
      <c r="F278" s="50">
        <f t="shared" si="611"/>
        <v>0.24</v>
      </c>
      <c r="G278" s="49" t="s">
        <v>221</v>
      </c>
      <c r="H278" s="64" t="s">
        <v>222</v>
      </c>
      <c r="I278" s="49">
        <f t="shared" ref="I278:J278" si="612">I277</f>
        <v>3</v>
      </c>
      <c r="J278" s="49" t="str">
        <f t="shared" si="612"/>
        <v>LT 3</v>
      </c>
      <c r="K278" s="84">
        <f>'HKL279'!Q16</f>
        <v>2775</v>
      </c>
      <c r="L278" s="84">
        <f>'HKL279'!P16</f>
        <v>2978</v>
      </c>
      <c r="M278" s="84">
        <f>'[1]April-18'!M22</f>
        <v>1</v>
      </c>
      <c r="N278" s="84">
        <f t="shared" si="607"/>
        <v>203</v>
      </c>
      <c r="O278" s="84">
        <f>'HKL279'!F16</f>
        <v>944.2</v>
      </c>
      <c r="P278" s="84">
        <f>'HKL279'!E16</f>
        <v>1059.2</v>
      </c>
      <c r="Q278" s="84">
        <f t="shared" si="604"/>
        <v>1</v>
      </c>
      <c r="R278" s="84">
        <f t="shared" si="608"/>
        <v>115</v>
      </c>
      <c r="S278" s="84">
        <f>'HKL279'!K16</f>
        <v>917.7</v>
      </c>
      <c r="T278" s="84">
        <f>'HKL279'!J16</f>
        <v>1105.7</v>
      </c>
      <c r="U278" s="84">
        <f>'[1]April-18'!U22</f>
        <v>1</v>
      </c>
      <c r="V278" s="84">
        <f t="shared" si="609"/>
        <v>188</v>
      </c>
      <c r="W278" s="84"/>
      <c r="X278" s="84"/>
      <c r="Y278" s="85">
        <f t="shared" si="610"/>
        <v>2.2555555555555555</v>
      </c>
      <c r="Z278" s="84"/>
      <c r="AA278" s="82" t="s">
        <v>258</v>
      </c>
    </row>
    <row r="279" spans="1:27" s="40" customFormat="1" ht="39.950000000000003" hidden="1" customHeight="1" x14ac:dyDescent="0.25">
      <c r="A279" s="49">
        <v>10</v>
      </c>
      <c r="B279" s="50" t="s">
        <v>43</v>
      </c>
      <c r="C279" s="56" t="str">
        <f t="shared" si="600"/>
        <v>HDKOTE/1714</v>
      </c>
      <c r="D279" s="51" t="s">
        <v>168</v>
      </c>
      <c r="E279" s="55" t="str">
        <f t="shared" ref="E279:F279" si="613">E278</f>
        <v>HKL279</v>
      </c>
      <c r="F279" s="50">
        <f t="shared" si="613"/>
        <v>0.24</v>
      </c>
      <c r="G279" s="49" t="s">
        <v>221</v>
      </c>
      <c r="H279" s="64" t="s">
        <v>222</v>
      </c>
      <c r="I279" s="49">
        <f t="shared" ref="I279:J279" si="614">I278</f>
        <v>3</v>
      </c>
      <c r="J279" s="49" t="str">
        <f t="shared" si="614"/>
        <v>LT 3</v>
      </c>
      <c r="K279" s="84">
        <f>'HKL279'!Q17</f>
        <v>0</v>
      </c>
      <c r="L279" s="84">
        <f>'HKL279'!P17</f>
        <v>0</v>
      </c>
      <c r="M279" s="84">
        <f>'[1]April-18'!M23</f>
        <v>1</v>
      </c>
      <c r="N279" s="84">
        <f t="shared" si="607"/>
        <v>0</v>
      </c>
      <c r="O279" s="84">
        <f>'HKL279'!F17</f>
        <v>0</v>
      </c>
      <c r="P279" s="84">
        <f>'HKL279'!E17</f>
        <v>0</v>
      </c>
      <c r="Q279" s="84">
        <f t="shared" si="604"/>
        <v>1</v>
      </c>
      <c r="R279" s="84">
        <f t="shared" si="608"/>
        <v>0</v>
      </c>
      <c r="S279" s="84">
        <f>'HKL279'!K17</f>
        <v>0</v>
      </c>
      <c r="T279" s="84">
        <f>'HKL279'!J17</f>
        <v>0</v>
      </c>
      <c r="U279" s="84">
        <f>'[1]April-18'!U23</f>
        <v>1</v>
      </c>
      <c r="V279" s="84">
        <f t="shared" si="609"/>
        <v>0</v>
      </c>
      <c r="W279" s="84"/>
      <c r="X279" s="84"/>
      <c r="Y279" s="85">
        <f t="shared" si="610"/>
        <v>0</v>
      </c>
      <c r="Z279" s="84"/>
      <c r="AA279" s="82"/>
    </row>
    <row r="280" spans="1:27" s="40" customFormat="1" ht="39.950000000000003" hidden="1" customHeight="1" x14ac:dyDescent="0.25">
      <c r="A280" s="49">
        <v>11</v>
      </c>
      <c r="B280" s="50" t="s">
        <v>43</v>
      </c>
      <c r="C280" s="56" t="str">
        <f t="shared" si="600"/>
        <v>HDKOTE/1714</v>
      </c>
      <c r="D280" s="51" t="s">
        <v>168</v>
      </c>
      <c r="E280" s="55" t="str">
        <f t="shared" ref="E280:F280" si="615">E279</f>
        <v>HKL279</v>
      </c>
      <c r="F280" s="50">
        <f t="shared" si="615"/>
        <v>0.24</v>
      </c>
      <c r="G280" s="49" t="s">
        <v>221</v>
      </c>
      <c r="H280" s="64" t="s">
        <v>222</v>
      </c>
      <c r="I280" s="49">
        <f t="shared" ref="I280:J280" si="616">I279</f>
        <v>3</v>
      </c>
      <c r="J280" s="49" t="str">
        <f t="shared" si="616"/>
        <v>LT 3</v>
      </c>
      <c r="K280" s="84">
        <f>'HKL279'!Q18</f>
        <v>2978</v>
      </c>
      <c r="L280" s="84">
        <f>'HKL279'!P18</f>
        <v>3205.5</v>
      </c>
      <c r="M280" s="84">
        <f>'[1]April-18'!M24</f>
        <v>1</v>
      </c>
      <c r="N280" s="84">
        <f t="shared" si="607"/>
        <v>227.5</v>
      </c>
      <c r="O280" s="84">
        <f>'HKL279'!F18</f>
        <v>1059.2</v>
      </c>
      <c r="P280" s="84">
        <f>'HKL279'!E18</f>
        <v>1160.5999999999999</v>
      </c>
      <c r="Q280" s="84">
        <f t="shared" si="604"/>
        <v>1</v>
      </c>
      <c r="R280" s="84">
        <f t="shared" si="608"/>
        <v>101.39999999999986</v>
      </c>
      <c r="S280" s="84">
        <f>'HKL279'!K18</f>
        <v>1105.7</v>
      </c>
      <c r="T280" s="84">
        <f>'HKL279'!J18</f>
        <v>1231.3</v>
      </c>
      <c r="U280" s="84">
        <f>'[1]April-18'!U24</f>
        <v>1</v>
      </c>
      <c r="V280" s="84">
        <f t="shared" si="609"/>
        <v>125.59999999999991</v>
      </c>
      <c r="W280" s="84"/>
      <c r="X280" s="84"/>
      <c r="Y280" s="85">
        <f t="shared" si="610"/>
        <v>2.5277777777777777</v>
      </c>
      <c r="Z280" s="84"/>
      <c r="AA280" s="82" t="s">
        <v>259</v>
      </c>
    </row>
    <row r="281" spans="1:27" s="40" customFormat="1" ht="39.950000000000003" hidden="1" customHeight="1" x14ac:dyDescent="0.25">
      <c r="A281" s="49">
        <v>12</v>
      </c>
      <c r="B281" s="50" t="s">
        <v>43</v>
      </c>
      <c r="C281" s="56" t="str">
        <f t="shared" si="600"/>
        <v>HDKOTE/1714</v>
      </c>
      <c r="D281" s="51" t="s">
        <v>168</v>
      </c>
      <c r="E281" s="55" t="str">
        <f t="shared" ref="E281:F281" si="617">E280</f>
        <v>HKL279</v>
      </c>
      <c r="F281" s="50">
        <f t="shared" si="617"/>
        <v>0.24</v>
      </c>
      <c r="G281" s="49" t="s">
        <v>221</v>
      </c>
      <c r="H281" s="64" t="s">
        <v>222</v>
      </c>
      <c r="I281" s="49">
        <f t="shared" ref="I281:J281" si="618">I280</f>
        <v>3</v>
      </c>
      <c r="J281" s="49" t="str">
        <f t="shared" si="618"/>
        <v>LT 3</v>
      </c>
      <c r="K281" s="84">
        <f>'HKL279'!Q19</f>
        <v>3205.5</v>
      </c>
      <c r="L281" s="84">
        <f>'HKL279'!P19</f>
        <v>3440.9</v>
      </c>
      <c r="M281" s="84">
        <f>'[1]April-18'!M25</f>
        <v>1</v>
      </c>
      <c r="N281" s="84">
        <f t="shared" si="607"/>
        <v>235.40000000000009</v>
      </c>
      <c r="O281" s="84">
        <f>'HKL279'!F19</f>
        <v>1160.5999999999999</v>
      </c>
      <c r="P281" s="84">
        <f>'HKL279'!E19</f>
        <v>1265.7</v>
      </c>
      <c r="Q281" s="84">
        <f t="shared" si="604"/>
        <v>1</v>
      </c>
      <c r="R281" s="84">
        <f t="shared" si="608"/>
        <v>105.10000000000014</v>
      </c>
      <c r="S281" s="84">
        <f>'HKL279'!K19</f>
        <v>1231.3</v>
      </c>
      <c r="T281" s="84">
        <f>'HKL279'!J19</f>
        <v>1386.2</v>
      </c>
      <c r="U281" s="84">
        <f>'[1]April-18'!U25</f>
        <v>1</v>
      </c>
      <c r="V281" s="84">
        <f t="shared" si="609"/>
        <v>154.90000000000009</v>
      </c>
      <c r="W281" s="84"/>
      <c r="X281" s="84"/>
      <c r="Y281" s="85">
        <f t="shared" si="610"/>
        <v>2.6155555555555563</v>
      </c>
      <c r="Z281" s="84"/>
      <c r="AA281" s="82" t="s">
        <v>263</v>
      </c>
    </row>
    <row r="282" spans="1:27" s="40" customFormat="1" ht="39.950000000000003" hidden="1" customHeight="1" x14ac:dyDescent="0.25">
      <c r="A282" s="49">
        <v>13</v>
      </c>
      <c r="B282" s="50" t="s">
        <v>43</v>
      </c>
      <c r="C282" s="56" t="str">
        <f t="shared" si="600"/>
        <v>HDKOTE/1714</v>
      </c>
      <c r="D282" s="51" t="s">
        <v>168</v>
      </c>
      <c r="E282" s="55" t="str">
        <f t="shared" ref="E282:F282" si="619">E281</f>
        <v>HKL279</v>
      </c>
      <c r="F282" s="50">
        <f t="shared" si="619"/>
        <v>0.24</v>
      </c>
      <c r="G282" s="49" t="s">
        <v>221</v>
      </c>
      <c r="H282" s="64" t="s">
        <v>222</v>
      </c>
      <c r="I282" s="49">
        <f t="shared" ref="I282:J282" si="620">I281</f>
        <v>3</v>
      </c>
      <c r="J282" s="49" t="str">
        <f t="shared" si="620"/>
        <v>LT 3</v>
      </c>
      <c r="K282" s="84">
        <f>'HKL279'!Q20</f>
        <v>3440.9</v>
      </c>
      <c r="L282" s="84">
        <f>'HKL279'!P20</f>
        <v>3622.4</v>
      </c>
      <c r="M282" s="84">
        <f>M281</f>
        <v>1</v>
      </c>
      <c r="N282" s="84">
        <f t="shared" si="607"/>
        <v>181.5</v>
      </c>
      <c r="O282" s="84">
        <f>'HKL279'!F20</f>
        <v>1265.7</v>
      </c>
      <c r="P282" s="84">
        <f>'HKL279'!E20</f>
        <v>1369.2</v>
      </c>
      <c r="Q282" s="84">
        <f t="shared" si="604"/>
        <v>1</v>
      </c>
      <c r="R282" s="84">
        <f t="shared" si="608"/>
        <v>103.5</v>
      </c>
      <c r="S282" s="84">
        <f>'HKL279'!K20</f>
        <v>1386.2</v>
      </c>
      <c r="T282" s="84">
        <f>'HKL279'!J20</f>
        <v>1506.9</v>
      </c>
      <c r="U282" s="84">
        <f>U281</f>
        <v>1</v>
      </c>
      <c r="V282" s="84">
        <f t="shared" si="609"/>
        <v>120.70000000000005</v>
      </c>
      <c r="W282" s="84"/>
      <c r="X282" s="84"/>
      <c r="Y282" s="85">
        <f t="shared" si="610"/>
        <v>2.0166666666666666</v>
      </c>
      <c r="Z282" s="84"/>
      <c r="AA282" s="82" t="s">
        <v>265</v>
      </c>
    </row>
    <row r="283" spans="1:27" s="40" customFormat="1" ht="39.950000000000003" hidden="1" customHeight="1" x14ac:dyDescent="0.25">
      <c r="A283" s="49">
        <v>14</v>
      </c>
      <c r="B283" s="50" t="s">
        <v>43</v>
      </c>
      <c r="C283" s="56" t="str">
        <f t="shared" si="600"/>
        <v>HDKOTE/1714</v>
      </c>
      <c r="D283" s="51" t="s">
        <v>168</v>
      </c>
      <c r="E283" s="55" t="str">
        <f t="shared" ref="E283:F283" si="621">E282</f>
        <v>HKL279</v>
      </c>
      <c r="F283" s="50">
        <f t="shared" si="621"/>
        <v>0.24</v>
      </c>
      <c r="G283" s="49" t="s">
        <v>221</v>
      </c>
      <c r="H283" s="64" t="s">
        <v>222</v>
      </c>
      <c r="I283" s="49">
        <f t="shared" ref="I283:J283" si="622">I282</f>
        <v>3</v>
      </c>
      <c r="J283" s="49" t="str">
        <f t="shared" si="622"/>
        <v>LT 3</v>
      </c>
      <c r="K283" s="84">
        <f>'HKL279'!Q21</f>
        <v>3622.4</v>
      </c>
      <c r="L283" s="84">
        <f>'HKL279'!P21</f>
        <v>3797.4</v>
      </c>
      <c r="M283" s="84">
        <f>M282</f>
        <v>1</v>
      </c>
      <c r="N283" s="84">
        <f t="shared" ref="N283:N288" si="623">(L283-K283)*M283</f>
        <v>175</v>
      </c>
      <c r="O283" s="84">
        <f>'HKL279'!F21</f>
        <v>1369.2</v>
      </c>
      <c r="P283" s="84">
        <f>'HKL279'!E21</f>
        <v>1468.2</v>
      </c>
      <c r="Q283" s="84">
        <f t="shared" si="604"/>
        <v>1</v>
      </c>
      <c r="R283" s="84">
        <f t="shared" ref="R283:R288" si="624">(P283-O283)*Q283</f>
        <v>99</v>
      </c>
      <c r="S283" s="84">
        <f>'HKL279'!K21</f>
        <v>1506.9</v>
      </c>
      <c r="T283" s="84">
        <f>'HKL279'!J21</f>
        <v>1620.9</v>
      </c>
      <c r="U283" s="84">
        <f>U282</f>
        <v>1</v>
      </c>
      <c r="V283" s="84">
        <f t="shared" ref="V283:V288" si="625">(T283-S283)*U283</f>
        <v>114</v>
      </c>
      <c r="W283" s="84"/>
      <c r="X283" s="84"/>
      <c r="Y283" s="85">
        <f t="shared" ref="Y283:Y288" si="626">N283/30/I283</f>
        <v>1.9444444444444444</v>
      </c>
      <c r="Z283" s="84"/>
      <c r="AA283" s="82"/>
    </row>
    <row r="284" spans="1:27" s="40" customFormat="1" ht="39.950000000000003" hidden="1" customHeight="1" x14ac:dyDescent="0.25">
      <c r="A284" s="49">
        <v>15</v>
      </c>
      <c r="B284" s="50" t="s">
        <v>43</v>
      </c>
      <c r="C284" s="56" t="str">
        <f t="shared" si="600"/>
        <v>HDKOTE/1714</v>
      </c>
      <c r="D284" s="51" t="s">
        <v>168</v>
      </c>
      <c r="E284" s="55" t="str">
        <f t="shared" ref="E284:F284" si="627">E283</f>
        <v>HKL279</v>
      </c>
      <c r="F284" s="50">
        <f t="shared" si="627"/>
        <v>0.24</v>
      </c>
      <c r="G284" s="49" t="s">
        <v>221</v>
      </c>
      <c r="H284" s="64" t="s">
        <v>222</v>
      </c>
      <c r="I284" s="49">
        <f t="shared" ref="I284:J284" si="628">I283</f>
        <v>3</v>
      </c>
      <c r="J284" s="49" t="str">
        <f t="shared" si="628"/>
        <v>LT 3</v>
      </c>
      <c r="K284" s="84">
        <f>'HKL279'!Q22</f>
        <v>3797.4</v>
      </c>
      <c r="L284" s="84">
        <f>'HKL279'!P22</f>
        <v>4055.2</v>
      </c>
      <c r="M284" s="84">
        <f t="shared" ref="M284" si="629">M283</f>
        <v>1</v>
      </c>
      <c r="N284" s="84">
        <f t="shared" si="623"/>
        <v>257.79999999999973</v>
      </c>
      <c r="O284" s="84">
        <f>'HKL279'!F22</f>
        <v>1468.2</v>
      </c>
      <c r="P284" s="84">
        <f>'HKL279'!E22</f>
        <v>1563.3</v>
      </c>
      <c r="Q284" s="84">
        <f t="shared" si="604"/>
        <v>1</v>
      </c>
      <c r="R284" s="84">
        <f t="shared" si="624"/>
        <v>95.099999999999909</v>
      </c>
      <c r="S284" s="84">
        <f>'HKL279'!K22</f>
        <v>1620.9</v>
      </c>
      <c r="T284" s="84">
        <f>'HKL279'!J22</f>
        <v>1791.7</v>
      </c>
      <c r="U284" s="84">
        <f t="shared" ref="U284" si="630">U283</f>
        <v>1</v>
      </c>
      <c r="V284" s="84">
        <f t="shared" si="625"/>
        <v>170.79999999999995</v>
      </c>
      <c r="W284" s="84"/>
      <c r="X284" s="84"/>
      <c r="Y284" s="85">
        <f t="shared" si="626"/>
        <v>2.8644444444444415</v>
      </c>
      <c r="Z284" s="84"/>
      <c r="AA284" s="82"/>
    </row>
    <row r="285" spans="1:27" s="40" customFormat="1" ht="39.950000000000003" hidden="1" customHeight="1" x14ac:dyDescent="0.25">
      <c r="A285" s="49">
        <v>16</v>
      </c>
      <c r="B285" s="50" t="s">
        <v>43</v>
      </c>
      <c r="C285" s="56" t="str">
        <f t="shared" si="600"/>
        <v>HDKOTE/1714</v>
      </c>
      <c r="D285" s="51" t="s">
        <v>168</v>
      </c>
      <c r="E285" s="55" t="str">
        <f t="shared" ref="E285:F285" si="631">E284</f>
        <v>HKL279</v>
      </c>
      <c r="F285" s="50">
        <f t="shared" si="631"/>
        <v>0.24</v>
      </c>
      <c r="G285" s="49" t="s">
        <v>221</v>
      </c>
      <c r="H285" s="64" t="s">
        <v>222</v>
      </c>
      <c r="I285" s="49">
        <f t="shared" ref="I285:J285" si="632">I284</f>
        <v>3</v>
      </c>
      <c r="J285" s="49" t="str">
        <f t="shared" si="632"/>
        <v>LT 3</v>
      </c>
      <c r="K285" s="84">
        <f>'HKL279'!Q23</f>
        <v>4055.2</v>
      </c>
      <c r="L285" s="84">
        <f>'HKL279'!P23</f>
        <v>4271.3999999999996</v>
      </c>
      <c r="M285" s="84">
        <f>'[1]April-18'!M29</f>
        <v>1</v>
      </c>
      <c r="N285" s="84">
        <f t="shared" si="623"/>
        <v>216.19999999999982</v>
      </c>
      <c r="O285" s="84">
        <f>'HKL279'!F23</f>
        <v>1563.3</v>
      </c>
      <c r="P285" s="84">
        <f>'HKL279'!E23</f>
        <v>1646</v>
      </c>
      <c r="Q285" s="84">
        <f t="shared" si="604"/>
        <v>1</v>
      </c>
      <c r="R285" s="84">
        <f t="shared" si="624"/>
        <v>82.700000000000045</v>
      </c>
      <c r="S285" s="84">
        <f>'HKL279'!K23</f>
        <v>1791.7</v>
      </c>
      <c r="T285" s="84">
        <f>'HKL279'!J23</f>
        <v>1946.8</v>
      </c>
      <c r="U285" s="84">
        <f>'[1]April-18'!U29</f>
        <v>1</v>
      </c>
      <c r="V285" s="84">
        <f t="shared" si="625"/>
        <v>155.09999999999991</v>
      </c>
      <c r="W285" s="84"/>
      <c r="X285" s="84"/>
      <c r="Y285" s="85">
        <f t="shared" si="626"/>
        <v>2.4022222222222203</v>
      </c>
      <c r="Z285" s="84"/>
      <c r="AA285" s="82"/>
    </row>
    <row r="286" spans="1:27" s="40" customFormat="1" ht="39.950000000000003" hidden="1" customHeight="1" x14ac:dyDescent="0.25">
      <c r="A286" s="93">
        <v>17</v>
      </c>
      <c r="B286" s="50" t="s">
        <v>43</v>
      </c>
      <c r="C286" s="56" t="str">
        <f t="shared" si="600"/>
        <v>HDKOTE/1714</v>
      </c>
      <c r="D286" s="51" t="s">
        <v>168</v>
      </c>
      <c r="E286" s="55" t="str">
        <f t="shared" ref="E286:F286" si="633">E285</f>
        <v>HKL279</v>
      </c>
      <c r="F286" s="50">
        <f t="shared" si="633"/>
        <v>0.24</v>
      </c>
      <c r="G286" s="49" t="s">
        <v>221</v>
      </c>
      <c r="H286" s="64" t="s">
        <v>222</v>
      </c>
      <c r="I286" s="49">
        <f t="shared" ref="I286:J286" si="634">I285</f>
        <v>3</v>
      </c>
      <c r="J286" s="49" t="str">
        <f t="shared" si="634"/>
        <v>LT 3</v>
      </c>
      <c r="K286" s="84">
        <f>'HKL279'!Q24</f>
        <v>4271.3999999999996</v>
      </c>
      <c r="L286" s="84">
        <f>'HKL279'!P24</f>
        <v>4525.8</v>
      </c>
      <c r="M286" s="84">
        <f t="shared" ref="M286" si="635">M285</f>
        <v>1</v>
      </c>
      <c r="N286" s="84">
        <f t="shared" si="623"/>
        <v>254.40000000000055</v>
      </c>
      <c r="O286" s="84">
        <f>'HKL279'!F24</f>
        <v>1646</v>
      </c>
      <c r="P286" s="84">
        <f>'HKL279'!E24</f>
        <v>1741.3</v>
      </c>
      <c r="Q286" s="84">
        <f t="shared" si="604"/>
        <v>1</v>
      </c>
      <c r="R286" s="84">
        <f t="shared" si="624"/>
        <v>95.299999999999955</v>
      </c>
      <c r="S286" s="84">
        <f>'HKL279'!K24</f>
        <v>1946.8</v>
      </c>
      <c r="T286" s="84">
        <f>'HKL279'!J24</f>
        <v>2122.6999999999998</v>
      </c>
      <c r="U286" s="84">
        <f t="shared" ref="U286" si="636">U285</f>
        <v>1</v>
      </c>
      <c r="V286" s="84">
        <f t="shared" si="625"/>
        <v>175.89999999999986</v>
      </c>
      <c r="W286" s="84"/>
      <c r="X286" s="84"/>
      <c r="Y286" s="85">
        <f t="shared" si="626"/>
        <v>2.8266666666666729</v>
      </c>
      <c r="Z286" s="84"/>
      <c r="AA286" s="82"/>
    </row>
    <row r="287" spans="1:27" s="40" customFormat="1" ht="39.950000000000003" hidden="1" customHeight="1" x14ac:dyDescent="0.25">
      <c r="A287" s="94">
        <v>18</v>
      </c>
      <c r="B287" s="50" t="s">
        <v>43</v>
      </c>
      <c r="C287" s="56" t="str">
        <f t="shared" si="600"/>
        <v>HDKOTE/1714</v>
      </c>
      <c r="D287" s="51" t="s">
        <v>168</v>
      </c>
      <c r="E287" s="55" t="str">
        <f t="shared" ref="E287:F287" si="637">E286</f>
        <v>HKL279</v>
      </c>
      <c r="F287" s="50">
        <f t="shared" si="637"/>
        <v>0.24</v>
      </c>
      <c r="G287" s="49" t="s">
        <v>221</v>
      </c>
      <c r="H287" s="64" t="s">
        <v>222</v>
      </c>
      <c r="I287" s="49">
        <f t="shared" ref="I287:J287" si="638">I286</f>
        <v>3</v>
      </c>
      <c r="J287" s="49" t="str">
        <f t="shared" si="638"/>
        <v>LT 3</v>
      </c>
      <c r="K287" s="84">
        <f>'HKL279'!Q25</f>
        <v>4525.8</v>
      </c>
      <c r="L287" s="84">
        <f>'HKL279'!P25</f>
        <v>4681.2</v>
      </c>
      <c r="M287" s="84">
        <f>'[1]April-18'!M31</f>
        <v>1</v>
      </c>
      <c r="N287" s="84">
        <f t="shared" si="623"/>
        <v>155.39999999999964</v>
      </c>
      <c r="O287" s="84">
        <f>'HKL279'!F25</f>
        <v>1741.3</v>
      </c>
      <c r="P287" s="84">
        <f>'HKL279'!E25</f>
        <v>1839.2</v>
      </c>
      <c r="Q287" s="84">
        <f t="shared" si="604"/>
        <v>1</v>
      </c>
      <c r="R287" s="84">
        <f t="shared" si="624"/>
        <v>97.900000000000091</v>
      </c>
      <c r="S287" s="84">
        <f>'HKL279'!K25</f>
        <v>2122.6999999999998</v>
      </c>
      <c r="T287" s="84">
        <f>'HKL279'!J25</f>
        <v>2226.1999999999998</v>
      </c>
      <c r="U287" s="84">
        <f>'[1]April-18'!U31</f>
        <v>1</v>
      </c>
      <c r="V287" s="84">
        <f t="shared" si="625"/>
        <v>103.5</v>
      </c>
      <c r="W287" s="84"/>
      <c r="X287" s="84"/>
      <c r="Y287" s="85">
        <f t="shared" si="626"/>
        <v>1.7266666666666628</v>
      </c>
      <c r="Z287" s="84"/>
      <c r="AA287" s="82"/>
    </row>
    <row r="288" spans="1:27" s="40" customFormat="1" ht="39.950000000000003" hidden="1" customHeight="1" x14ac:dyDescent="0.25">
      <c r="A288" s="95">
        <v>19</v>
      </c>
      <c r="B288" s="50" t="s">
        <v>43</v>
      </c>
      <c r="C288" s="56" t="str">
        <f t="shared" si="600"/>
        <v>HDKOTE/1714</v>
      </c>
      <c r="D288" s="51" t="s">
        <v>168</v>
      </c>
      <c r="E288" s="55" t="str">
        <f t="shared" ref="E288:F288" si="639">E287</f>
        <v>HKL279</v>
      </c>
      <c r="F288" s="50">
        <f t="shared" si="639"/>
        <v>0.24</v>
      </c>
      <c r="G288" s="49" t="s">
        <v>221</v>
      </c>
      <c r="H288" s="64" t="s">
        <v>222</v>
      </c>
      <c r="I288" s="49">
        <f t="shared" ref="I288:J288" si="640">I287</f>
        <v>3</v>
      </c>
      <c r="J288" s="49" t="str">
        <f t="shared" si="640"/>
        <v>LT 3</v>
      </c>
      <c r="K288" s="84">
        <f>'HKL279'!Q26</f>
        <v>4681.2</v>
      </c>
      <c r="L288" s="84">
        <f>'HKL279'!P26</f>
        <v>4809.7</v>
      </c>
      <c r="M288" s="84">
        <f t="shared" ref="M288:M301" si="641">M287</f>
        <v>1</v>
      </c>
      <c r="N288" s="84">
        <f t="shared" si="623"/>
        <v>128.5</v>
      </c>
      <c r="O288" s="84">
        <f>'HKL279'!F26</f>
        <v>1839.2</v>
      </c>
      <c r="P288" s="84">
        <f>'HKL279'!E26</f>
        <v>1936.5</v>
      </c>
      <c r="Q288" s="84">
        <f t="shared" si="604"/>
        <v>1</v>
      </c>
      <c r="R288" s="84">
        <f t="shared" si="624"/>
        <v>97.299999999999955</v>
      </c>
      <c r="S288" s="84">
        <f>'HKL279'!K26</f>
        <v>2226.1999999999998</v>
      </c>
      <c r="T288" s="84">
        <f>'HKL279'!J26</f>
        <v>2309.9</v>
      </c>
      <c r="U288" s="84">
        <f t="shared" ref="U288:U301" si="642">U287</f>
        <v>1</v>
      </c>
      <c r="V288" s="84">
        <f t="shared" si="625"/>
        <v>83.700000000000273</v>
      </c>
      <c r="W288" s="84"/>
      <c r="X288" s="84"/>
      <c r="Y288" s="85">
        <f t="shared" si="626"/>
        <v>1.4277777777777778</v>
      </c>
      <c r="Z288" s="84"/>
      <c r="AA288" s="82"/>
    </row>
    <row r="289" spans="1:27" s="40" customFormat="1" ht="39.950000000000003" hidden="1" customHeight="1" x14ac:dyDescent="0.25">
      <c r="A289" s="1">
        <v>20</v>
      </c>
      <c r="B289" s="50" t="s">
        <v>43</v>
      </c>
      <c r="C289" s="56" t="str">
        <f t="shared" si="600"/>
        <v>HDKOTE/1714</v>
      </c>
      <c r="D289" s="51" t="s">
        <v>168</v>
      </c>
      <c r="E289" s="55" t="str">
        <f t="shared" ref="E289:F289" si="643">E288</f>
        <v>HKL279</v>
      </c>
      <c r="F289" s="50">
        <f t="shared" si="643"/>
        <v>0.24</v>
      </c>
      <c r="G289" s="49" t="s">
        <v>221</v>
      </c>
      <c r="H289" s="64" t="s">
        <v>222</v>
      </c>
      <c r="I289" s="49">
        <f t="shared" ref="I289:J289" si="644">I288</f>
        <v>3</v>
      </c>
      <c r="J289" s="49" t="str">
        <f t="shared" si="644"/>
        <v>LT 3</v>
      </c>
      <c r="K289" s="84">
        <f>'HKL279'!Q27</f>
        <v>4809.7</v>
      </c>
      <c r="L289" s="84">
        <f>'HKL279'!P27</f>
        <v>4919.8999999999996</v>
      </c>
      <c r="M289" s="84">
        <f>M288</f>
        <v>1</v>
      </c>
      <c r="N289" s="84">
        <f t="shared" ref="N289:N290" si="645">(L289-K289)*M289</f>
        <v>110.19999999999982</v>
      </c>
      <c r="O289" s="84">
        <f>'HKL279'!F27</f>
        <v>1936.5</v>
      </c>
      <c r="P289" s="84">
        <f>'HKL279'!E27</f>
        <v>2036.6</v>
      </c>
      <c r="Q289" s="84">
        <f t="shared" si="604"/>
        <v>1</v>
      </c>
      <c r="R289" s="84">
        <f t="shared" ref="R289:R290" si="646">(P289-O289)*Q289</f>
        <v>100.09999999999991</v>
      </c>
      <c r="S289" s="84">
        <f>'HKL279'!K27</f>
        <v>2309.9</v>
      </c>
      <c r="T289" s="84">
        <f>'HKL279'!J27</f>
        <v>2360.5</v>
      </c>
      <c r="U289" s="84">
        <f>U288</f>
        <v>1</v>
      </c>
      <c r="V289" s="84">
        <f t="shared" ref="V289:V290" si="647">(T289-S289)*U289</f>
        <v>50.599999999999909</v>
      </c>
      <c r="W289" s="84"/>
      <c r="X289" s="84"/>
      <c r="Y289" s="85">
        <f t="shared" ref="Y289:Y290" si="648">N289/30/I289</f>
        <v>1.2244444444444424</v>
      </c>
      <c r="Z289" s="84"/>
      <c r="AA289" s="82"/>
    </row>
    <row r="290" spans="1:27" s="40" customFormat="1" ht="39.950000000000003" hidden="1" customHeight="1" x14ac:dyDescent="0.25">
      <c r="A290" s="49">
        <v>21</v>
      </c>
      <c r="B290" s="50" t="s">
        <v>43</v>
      </c>
      <c r="C290" s="56" t="str">
        <f t="shared" si="600"/>
        <v>HDKOTE/1714</v>
      </c>
      <c r="D290" s="51" t="s">
        <v>168</v>
      </c>
      <c r="E290" s="55" t="str">
        <f t="shared" ref="E290:F292" si="649">E289</f>
        <v>HKL279</v>
      </c>
      <c r="F290" s="50">
        <f t="shared" si="649"/>
        <v>0.24</v>
      </c>
      <c r="G290" s="49" t="s">
        <v>221</v>
      </c>
      <c r="H290" s="64" t="s">
        <v>222</v>
      </c>
      <c r="I290" s="49">
        <f t="shared" ref="I290:J292" si="650">I289</f>
        <v>3</v>
      </c>
      <c r="J290" s="49" t="str">
        <f t="shared" si="650"/>
        <v>LT 3</v>
      </c>
      <c r="K290" s="84">
        <f>'HKL279'!Q28</f>
        <v>4919.8999999999996</v>
      </c>
      <c r="L290" s="84">
        <f>'HKL279'!P28</f>
        <v>5065.1000000000004</v>
      </c>
      <c r="M290" s="84">
        <f t="shared" si="641"/>
        <v>1</v>
      </c>
      <c r="N290" s="84">
        <f t="shared" si="645"/>
        <v>145.20000000000073</v>
      </c>
      <c r="O290" s="84">
        <f>'HKL279'!F28</f>
        <v>2036.6</v>
      </c>
      <c r="P290" s="84">
        <f>'HKL279'!E28</f>
        <v>2130.4</v>
      </c>
      <c r="Q290" s="84">
        <f t="shared" si="604"/>
        <v>1</v>
      </c>
      <c r="R290" s="84">
        <f t="shared" si="646"/>
        <v>93.800000000000182</v>
      </c>
      <c r="S290" s="84">
        <f>'HKL279'!K28</f>
        <v>2360.5</v>
      </c>
      <c r="T290" s="84">
        <f>'HKL279'!J28</f>
        <v>2445</v>
      </c>
      <c r="U290" s="84">
        <f t="shared" si="642"/>
        <v>1</v>
      </c>
      <c r="V290" s="84">
        <f t="shared" si="647"/>
        <v>84.5</v>
      </c>
      <c r="W290" s="84"/>
      <c r="X290" s="84"/>
      <c r="Y290" s="85">
        <f t="shared" si="648"/>
        <v>1.6133333333333413</v>
      </c>
      <c r="Z290" s="84"/>
      <c r="AA290" s="82"/>
    </row>
    <row r="291" spans="1:27" s="40" customFormat="1" ht="39.950000000000003" hidden="1" customHeight="1" x14ac:dyDescent="0.25">
      <c r="A291" s="49">
        <v>22</v>
      </c>
      <c r="B291" s="50" t="s">
        <v>43</v>
      </c>
      <c r="C291" s="56" t="str">
        <f t="shared" si="600"/>
        <v>HDKOTE/1714</v>
      </c>
      <c r="D291" s="51" t="s">
        <v>168</v>
      </c>
      <c r="E291" s="55" t="str">
        <f t="shared" si="649"/>
        <v>HKL279</v>
      </c>
      <c r="F291" s="50">
        <f t="shared" si="649"/>
        <v>0.24</v>
      </c>
      <c r="G291" s="49" t="s">
        <v>221</v>
      </c>
      <c r="H291" s="64" t="s">
        <v>222</v>
      </c>
      <c r="I291" s="49">
        <f t="shared" si="650"/>
        <v>3</v>
      </c>
      <c r="J291" s="49" t="str">
        <f t="shared" si="650"/>
        <v>LT 3</v>
      </c>
      <c r="K291" s="84">
        <f>'HKL279'!Q29</f>
        <v>5065.1000000000004</v>
      </c>
      <c r="L291" s="84">
        <f>'HKL279'!P29</f>
        <v>5231.3</v>
      </c>
      <c r="M291" s="84">
        <f t="shared" si="641"/>
        <v>1</v>
      </c>
      <c r="N291" s="84">
        <f t="shared" ref="N291:N292" si="651">(L291-K291)*M291</f>
        <v>166.19999999999982</v>
      </c>
      <c r="O291" s="84">
        <f>'HKL279'!F29</f>
        <v>2130.4</v>
      </c>
      <c r="P291" s="84">
        <f>'HKL279'!E29</f>
        <v>2248.8000000000002</v>
      </c>
      <c r="Q291" s="84">
        <f t="shared" si="604"/>
        <v>1</v>
      </c>
      <c r="R291" s="84">
        <f t="shared" ref="R291:R292" si="652">(P291-O291)*Q291</f>
        <v>118.40000000000009</v>
      </c>
      <c r="S291" s="84">
        <f>'HKL279'!K29</f>
        <v>2445</v>
      </c>
      <c r="T291" s="84">
        <f>'HKL279'!J29</f>
        <v>2543.1999999999998</v>
      </c>
      <c r="U291" s="84">
        <f t="shared" si="642"/>
        <v>1</v>
      </c>
      <c r="V291" s="84">
        <f t="shared" ref="V291:V292" si="653">(T291-S291)*U291</f>
        <v>98.199999999999818</v>
      </c>
      <c r="W291" s="84"/>
      <c r="X291" s="84"/>
      <c r="Y291" s="85">
        <f t="shared" ref="Y291:Y292" si="654">N291/30/I291</f>
        <v>1.8466666666666647</v>
      </c>
      <c r="Z291" s="84"/>
      <c r="AA291" s="82"/>
    </row>
    <row r="292" spans="1:27" s="40" customFormat="1" ht="39.950000000000003" hidden="1" customHeight="1" x14ac:dyDescent="0.25">
      <c r="A292" s="1">
        <v>23</v>
      </c>
      <c r="B292" s="50" t="s">
        <v>43</v>
      </c>
      <c r="C292" s="56" t="str">
        <f t="shared" si="600"/>
        <v>HDKOTE/1714</v>
      </c>
      <c r="D292" s="51" t="s">
        <v>168</v>
      </c>
      <c r="E292" s="55" t="str">
        <f t="shared" si="649"/>
        <v>HKL279</v>
      </c>
      <c r="F292" s="50">
        <f t="shared" si="649"/>
        <v>0.24</v>
      </c>
      <c r="G292" s="49" t="s">
        <v>221</v>
      </c>
      <c r="H292" s="64" t="s">
        <v>222</v>
      </c>
      <c r="I292" s="49">
        <f t="shared" si="650"/>
        <v>3</v>
      </c>
      <c r="J292" s="49" t="str">
        <f t="shared" si="650"/>
        <v>LT 3</v>
      </c>
      <c r="K292" s="84">
        <f>'HKL279'!Q31</f>
        <v>5231.3</v>
      </c>
      <c r="L292" s="84">
        <f>'HKL279'!P31</f>
        <v>5397.3</v>
      </c>
      <c r="M292" s="84">
        <f>M291</f>
        <v>1</v>
      </c>
      <c r="N292" s="84">
        <f t="shared" si="651"/>
        <v>166</v>
      </c>
      <c r="O292" s="84">
        <f>'HKL279'!F31</f>
        <v>2248.8000000000002</v>
      </c>
      <c r="P292" s="84">
        <f>'HKL279'!E31</f>
        <v>2366.8000000000002</v>
      </c>
      <c r="Q292" s="84">
        <f t="shared" si="604"/>
        <v>1</v>
      </c>
      <c r="R292" s="84">
        <f t="shared" si="652"/>
        <v>118</v>
      </c>
      <c r="S292" s="84">
        <f>'HKL279'!K31</f>
        <v>2543.1999999999998</v>
      </c>
      <c r="T292" s="84">
        <f>'HKL279'!J31</f>
        <v>2641.2</v>
      </c>
      <c r="U292" s="84">
        <f>U291</f>
        <v>1</v>
      </c>
      <c r="V292" s="84">
        <f t="shared" si="653"/>
        <v>98</v>
      </c>
      <c r="W292" s="84"/>
      <c r="X292" s="84"/>
      <c r="Y292" s="85">
        <f t="shared" si="654"/>
        <v>1.8444444444444443</v>
      </c>
      <c r="Z292" s="84"/>
      <c r="AA292" s="82"/>
    </row>
    <row r="293" spans="1:27" s="40" customFormat="1" ht="39.950000000000003" hidden="1" customHeight="1" x14ac:dyDescent="0.25">
      <c r="A293" s="49">
        <v>24</v>
      </c>
      <c r="B293" s="50" t="s">
        <v>43</v>
      </c>
      <c r="C293" s="56" t="str">
        <f t="shared" si="600"/>
        <v>HDKOTE/1714</v>
      </c>
      <c r="D293" s="51" t="s">
        <v>168</v>
      </c>
      <c r="E293" s="55" t="str">
        <f t="shared" ref="E293:F293" si="655">E292</f>
        <v>HKL279</v>
      </c>
      <c r="F293" s="50">
        <f t="shared" si="655"/>
        <v>0.24</v>
      </c>
      <c r="G293" s="49" t="s">
        <v>221</v>
      </c>
      <c r="H293" s="64" t="s">
        <v>222</v>
      </c>
      <c r="I293" s="49">
        <f t="shared" ref="I293:J293" si="656">I292</f>
        <v>3</v>
      </c>
      <c r="J293" s="49" t="str">
        <f t="shared" si="656"/>
        <v>LT 3</v>
      </c>
      <c r="K293" s="84">
        <f>'HKL279'!Q32</f>
        <v>5397.3</v>
      </c>
      <c r="L293" s="84">
        <f>'HKL279'!P32</f>
        <v>5611.7</v>
      </c>
      <c r="M293" s="84">
        <f t="shared" si="641"/>
        <v>1</v>
      </c>
      <c r="N293" s="84">
        <f t="shared" ref="N293:N297" si="657">(L293-K293)*M293</f>
        <v>214.39999999999964</v>
      </c>
      <c r="O293" s="84">
        <f>'HKL279'!F32</f>
        <v>2366.8000000000002</v>
      </c>
      <c r="P293" s="84">
        <f>'HKL279'!E32</f>
        <v>2428.3000000000002</v>
      </c>
      <c r="Q293" s="84">
        <f t="shared" si="604"/>
        <v>1</v>
      </c>
      <c r="R293" s="84">
        <f t="shared" ref="R293:R297" si="658">(P293-O293)*Q293</f>
        <v>61.5</v>
      </c>
      <c r="S293" s="84">
        <f>'HKL279'!K32</f>
        <v>2641.2</v>
      </c>
      <c r="T293" s="84">
        <f>'HKL279'!J32</f>
        <v>2796.8</v>
      </c>
      <c r="U293" s="84">
        <f t="shared" si="642"/>
        <v>1</v>
      </c>
      <c r="V293" s="84">
        <f t="shared" ref="V293:V297" si="659">(T293-S293)*U293</f>
        <v>155.60000000000036</v>
      </c>
      <c r="W293" s="84"/>
      <c r="X293" s="84"/>
      <c r="Y293" s="85">
        <f t="shared" ref="Y293:Y297" si="660">N293/30/I293</f>
        <v>2.3822222222222185</v>
      </c>
      <c r="Z293" s="84"/>
      <c r="AA293" s="82"/>
    </row>
    <row r="294" spans="1:27" s="40" customFormat="1" ht="39.950000000000003" hidden="1" customHeight="1" x14ac:dyDescent="0.25">
      <c r="A294" s="1">
        <v>25</v>
      </c>
      <c r="B294" s="50" t="s">
        <v>43</v>
      </c>
      <c r="C294" s="56" t="str">
        <f t="shared" si="600"/>
        <v>HDKOTE/1714</v>
      </c>
      <c r="D294" s="51" t="s">
        <v>168</v>
      </c>
      <c r="E294" s="55" t="str">
        <f t="shared" ref="E294:F294" si="661">E293</f>
        <v>HKL279</v>
      </c>
      <c r="F294" s="50">
        <f t="shared" si="661"/>
        <v>0.24</v>
      </c>
      <c r="G294" s="49" t="s">
        <v>221</v>
      </c>
      <c r="H294" s="64" t="s">
        <v>222</v>
      </c>
      <c r="I294" s="49">
        <f t="shared" ref="I294:J294" si="662">I293</f>
        <v>3</v>
      </c>
      <c r="J294" s="49" t="str">
        <f t="shared" si="662"/>
        <v>LT 3</v>
      </c>
      <c r="K294" s="84">
        <f>'HKL279'!Q33</f>
        <v>5611.7</v>
      </c>
      <c r="L294" s="84">
        <f>'HKL279'!P33</f>
        <v>5812.4</v>
      </c>
      <c r="M294" s="84">
        <f>M293</f>
        <v>1</v>
      </c>
      <c r="N294" s="84">
        <f t="shared" si="657"/>
        <v>200.69999999999982</v>
      </c>
      <c r="O294" s="84">
        <f>'HKL279'!F33</f>
        <v>2428.3000000000002</v>
      </c>
      <c r="P294" s="84">
        <f>'HKL279'!E33</f>
        <v>2510.3000000000002</v>
      </c>
      <c r="Q294" s="84">
        <f t="shared" si="604"/>
        <v>1</v>
      </c>
      <c r="R294" s="84">
        <f t="shared" si="658"/>
        <v>82</v>
      </c>
      <c r="S294" s="84">
        <f>'HKL279'!K33</f>
        <v>2796.8</v>
      </c>
      <c r="T294" s="84">
        <f>'HKL279'!J33</f>
        <v>2930.3</v>
      </c>
      <c r="U294" s="84">
        <f>U293</f>
        <v>1</v>
      </c>
      <c r="V294" s="84">
        <f t="shared" si="659"/>
        <v>133.5</v>
      </c>
      <c r="W294" s="84"/>
      <c r="X294" s="84"/>
      <c r="Y294" s="85">
        <f t="shared" si="660"/>
        <v>2.2299999999999982</v>
      </c>
      <c r="Z294" s="84"/>
      <c r="AA294" s="82"/>
    </row>
    <row r="295" spans="1:27" s="40" customFormat="1" ht="39.950000000000003" hidden="1" customHeight="1" x14ac:dyDescent="0.25">
      <c r="A295" s="49">
        <v>26</v>
      </c>
      <c r="B295" s="50" t="s">
        <v>43</v>
      </c>
      <c r="C295" s="56" t="str">
        <f t="shared" si="600"/>
        <v>HDKOTE/1714</v>
      </c>
      <c r="D295" s="51" t="s">
        <v>168</v>
      </c>
      <c r="E295" s="55" t="str">
        <f t="shared" ref="E295:F295" si="663">E294</f>
        <v>HKL279</v>
      </c>
      <c r="F295" s="50">
        <f t="shared" si="663"/>
        <v>0.24</v>
      </c>
      <c r="G295" s="49" t="s">
        <v>221</v>
      </c>
      <c r="H295" s="64" t="s">
        <v>222</v>
      </c>
      <c r="I295" s="49">
        <f t="shared" ref="I295:J295" si="664">I294</f>
        <v>3</v>
      </c>
      <c r="J295" s="49" t="str">
        <f t="shared" si="664"/>
        <v>LT 3</v>
      </c>
      <c r="K295" s="84">
        <f>'HKL279'!Q34</f>
        <v>5812.4</v>
      </c>
      <c r="L295" s="84">
        <f>'HKL279'!P34</f>
        <v>6009.8</v>
      </c>
      <c r="M295" s="84">
        <f t="shared" si="641"/>
        <v>1</v>
      </c>
      <c r="N295" s="84">
        <f t="shared" si="657"/>
        <v>197.40000000000055</v>
      </c>
      <c r="O295" s="84">
        <f>'HKL279'!F34</f>
        <v>2510.3000000000002</v>
      </c>
      <c r="P295" s="84">
        <f>'HKL279'!E34</f>
        <v>2592.6999999999998</v>
      </c>
      <c r="Q295" s="84">
        <f t="shared" si="604"/>
        <v>1</v>
      </c>
      <c r="R295" s="84">
        <f t="shared" si="658"/>
        <v>82.399999999999636</v>
      </c>
      <c r="S295" s="84">
        <f>'HKL279'!K34</f>
        <v>2930.3</v>
      </c>
      <c r="T295" s="84">
        <f>'HKL279'!J34</f>
        <v>3046.3</v>
      </c>
      <c r="U295" s="84">
        <f t="shared" si="642"/>
        <v>1</v>
      </c>
      <c r="V295" s="84">
        <f t="shared" si="659"/>
        <v>116</v>
      </c>
      <c r="W295" s="84"/>
      <c r="X295" s="84"/>
      <c r="Y295" s="85">
        <f t="shared" si="660"/>
        <v>2.1933333333333391</v>
      </c>
      <c r="Z295" s="84"/>
      <c r="AA295" s="82"/>
    </row>
    <row r="296" spans="1:27" s="40" customFormat="1" ht="39.950000000000003" hidden="1" customHeight="1" x14ac:dyDescent="0.25">
      <c r="A296" s="49">
        <v>27</v>
      </c>
      <c r="B296" s="50" t="s">
        <v>43</v>
      </c>
      <c r="C296" s="56" t="str">
        <f t="shared" si="600"/>
        <v>HDKOTE/1714</v>
      </c>
      <c r="D296" s="51" t="s">
        <v>168</v>
      </c>
      <c r="E296" s="55" t="str">
        <f t="shared" ref="E296:F296" si="665">E295</f>
        <v>HKL279</v>
      </c>
      <c r="F296" s="50">
        <f t="shared" si="665"/>
        <v>0.24</v>
      </c>
      <c r="G296" s="49" t="s">
        <v>221</v>
      </c>
      <c r="H296" s="64" t="s">
        <v>222</v>
      </c>
      <c r="I296" s="49">
        <f t="shared" ref="I296:J296" si="666">I295</f>
        <v>3</v>
      </c>
      <c r="J296" s="49" t="str">
        <f t="shared" si="666"/>
        <v>LT 3</v>
      </c>
      <c r="K296" s="84">
        <f>'HKL279'!Q35</f>
        <v>6009.8</v>
      </c>
      <c r="L296" s="84">
        <f>'HKL279'!P35</f>
        <v>6201.9</v>
      </c>
      <c r="M296" s="84">
        <f t="shared" si="641"/>
        <v>1</v>
      </c>
      <c r="N296" s="84">
        <f t="shared" si="657"/>
        <v>192.09999999999945</v>
      </c>
      <c r="O296" s="84">
        <f>'HKL279'!F35</f>
        <v>2592.6999999999998</v>
      </c>
      <c r="P296" s="84">
        <f>'HKL279'!E35</f>
        <v>2681.4</v>
      </c>
      <c r="Q296" s="84">
        <f t="shared" si="604"/>
        <v>1</v>
      </c>
      <c r="R296" s="84">
        <f t="shared" si="658"/>
        <v>88.700000000000273</v>
      </c>
      <c r="S296" s="84">
        <f>'HKL279'!K35</f>
        <v>3046.3</v>
      </c>
      <c r="T296" s="84">
        <f>'HKL279'!J35</f>
        <v>3175.1</v>
      </c>
      <c r="U296" s="84">
        <f t="shared" si="642"/>
        <v>1</v>
      </c>
      <c r="V296" s="84">
        <f t="shared" si="659"/>
        <v>128.79999999999973</v>
      </c>
      <c r="W296" s="84"/>
      <c r="X296" s="84"/>
      <c r="Y296" s="85">
        <f t="shared" si="660"/>
        <v>2.1344444444444384</v>
      </c>
      <c r="Z296" s="84"/>
      <c r="AA296" s="82"/>
    </row>
    <row r="297" spans="1:27" s="40" customFormat="1" ht="39.950000000000003" hidden="1" customHeight="1" x14ac:dyDescent="0.25">
      <c r="A297" s="1">
        <v>28</v>
      </c>
      <c r="B297" s="50" t="s">
        <v>43</v>
      </c>
      <c r="C297" s="56" t="str">
        <f t="shared" si="600"/>
        <v>HDKOTE/1714</v>
      </c>
      <c r="D297" s="51" t="s">
        <v>168</v>
      </c>
      <c r="E297" s="55" t="str">
        <f t="shared" ref="E297:F299" si="667">E296</f>
        <v>HKL279</v>
      </c>
      <c r="F297" s="50">
        <f t="shared" si="667"/>
        <v>0.24</v>
      </c>
      <c r="G297" s="49" t="s">
        <v>221</v>
      </c>
      <c r="H297" s="64" t="s">
        <v>222</v>
      </c>
      <c r="I297" s="49">
        <f t="shared" ref="I297:J299" si="668">I296</f>
        <v>3</v>
      </c>
      <c r="J297" s="49" t="str">
        <f t="shared" si="668"/>
        <v>LT 3</v>
      </c>
      <c r="K297" s="84">
        <f>'HKL279'!Q36</f>
        <v>6201.9</v>
      </c>
      <c r="L297" s="84">
        <f>'HKL279'!P36</f>
        <v>6421.3</v>
      </c>
      <c r="M297" s="84">
        <f t="shared" si="641"/>
        <v>1</v>
      </c>
      <c r="N297" s="84">
        <f t="shared" si="657"/>
        <v>219.40000000000055</v>
      </c>
      <c r="O297" s="84">
        <f>'HKL279'!F36</f>
        <v>2681.4</v>
      </c>
      <c r="P297" s="84">
        <f>'HKL279'!E36</f>
        <v>2771.2</v>
      </c>
      <c r="Q297" s="84">
        <f t="shared" si="604"/>
        <v>1</v>
      </c>
      <c r="R297" s="84">
        <f t="shared" si="658"/>
        <v>89.799999999999727</v>
      </c>
      <c r="S297" s="84">
        <f>'HKL279'!K36</f>
        <v>3175.1</v>
      </c>
      <c r="T297" s="84">
        <f>'HKL279'!J36</f>
        <v>3321.7</v>
      </c>
      <c r="U297" s="84">
        <f t="shared" si="642"/>
        <v>1</v>
      </c>
      <c r="V297" s="84">
        <f t="shared" si="659"/>
        <v>146.59999999999991</v>
      </c>
      <c r="W297" s="84">
        <f>'HKL279'!U36</f>
        <v>1.78</v>
      </c>
      <c r="X297" s="84">
        <f>'HKL279'!V36</f>
        <v>0.95</v>
      </c>
      <c r="Y297" s="85">
        <f t="shared" si="660"/>
        <v>2.4377777777777836</v>
      </c>
      <c r="Z297" s="84"/>
      <c r="AA297" s="82"/>
    </row>
    <row r="298" spans="1:27" s="40" customFormat="1" ht="39.950000000000003" hidden="1" customHeight="1" x14ac:dyDescent="0.25">
      <c r="A298" s="49">
        <v>29</v>
      </c>
      <c r="B298" s="50" t="s">
        <v>43</v>
      </c>
      <c r="C298" s="56" t="str">
        <f t="shared" si="600"/>
        <v>HDKOTE/1714</v>
      </c>
      <c r="D298" s="51" t="s">
        <v>168</v>
      </c>
      <c r="E298" s="55" t="str">
        <f t="shared" ref="E298:F298" si="669">E297</f>
        <v>HKL279</v>
      </c>
      <c r="F298" s="50">
        <f t="shared" si="669"/>
        <v>0.24</v>
      </c>
      <c r="G298" s="49" t="s">
        <v>221</v>
      </c>
      <c r="H298" s="64" t="s">
        <v>222</v>
      </c>
      <c r="I298" s="49">
        <f t="shared" ref="I298:J298" si="670">I297</f>
        <v>3</v>
      </c>
      <c r="J298" s="49" t="str">
        <f t="shared" si="670"/>
        <v>LT 3</v>
      </c>
      <c r="K298" s="84">
        <f>'HKL279'!Q37</f>
        <v>6421.3</v>
      </c>
      <c r="L298" s="84">
        <f>'HKL279'!P37</f>
        <v>6664.4</v>
      </c>
      <c r="M298" s="84">
        <f t="shared" si="641"/>
        <v>1</v>
      </c>
      <c r="N298" s="84">
        <f t="shared" ref="N298:N301" si="671">(L298-K298)*M298</f>
        <v>243.09999999999945</v>
      </c>
      <c r="O298" s="84">
        <f>'HKL279'!F37</f>
        <v>2771.2</v>
      </c>
      <c r="P298" s="84">
        <f>'HKL279'!E37</f>
        <v>2861.8</v>
      </c>
      <c r="Q298" s="84">
        <f t="shared" si="604"/>
        <v>1</v>
      </c>
      <c r="R298" s="84">
        <f t="shared" ref="R298:R301" si="672">(P298-O298)*Q298</f>
        <v>90.600000000000364</v>
      </c>
      <c r="S298" s="84">
        <f>'HKL279'!K37</f>
        <v>3321.7</v>
      </c>
      <c r="T298" s="84">
        <f>'HKL279'!J37</f>
        <v>3468.9</v>
      </c>
      <c r="U298" s="84">
        <f t="shared" si="642"/>
        <v>1</v>
      </c>
      <c r="V298" s="84">
        <f t="shared" ref="V298:V301" si="673">(T298-S298)*U298</f>
        <v>147.20000000000027</v>
      </c>
      <c r="W298" s="84">
        <f>'HKL279'!U37</f>
        <v>1.03</v>
      </c>
      <c r="X298" s="84">
        <f>'HKL279'!V37</f>
        <v>0.91</v>
      </c>
      <c r="Y298" s="85">
        <f t="shared" ref="Y298:Y301" si="674">N298/30/I298</f>
        <v>2.7011111111111052</v>
      </c>
      <c r="Z298" s="84"/>
      <c r="AA298" s="82"/>
    </row>
    <row r="299" spans="1:27" s="40" customFormat="1" ht="39.950000000000003" customHeight="1" x14ac:dyDescent="0.25">
      <c r="A299" s="1">
        <v>30</v>
      </c>
      <c r="B299" s="50" t="s">
        <v>43</v>
      </c>
      <c r="C299" s="56" t="str">
        <f t="shared" si="600"/>
        <v>HDKOTE/1714</v>
      </c>
      <c r="D299" s="51" t="s">
        <v>168</v>
      </c>
      <c r="E299" s="55" t="str">
        <f t="shared" si="667"/>
        <v>HKL279</v>
      </c>
      <c r="F299" s="50">
        <f t="shared" si="667"/>
        <v>0.24</v>
      </c>
      <c r="G299" s="49" t="s">
        <v>221</v>
      </c>
      <c r="H299" s="64" t="s">
        <v>222</v>
      </c>
      <c r="I299" s="49">
        <f t="shared" si="668"/>
        <v>3</v>
      </c>
      <c r="J299" s="49" t="str">
        <f t="shared" si="668"/>
        <v>LT 3</v>
      </c>
      <c r="K299" s="84">
        <f>'HKL279'!Q38</f>
        <v>6664.4</v>
      </c>
      <c r="L299" s="84">
        <f>'HKL279'!P38</f>
        <v>6755.8</v>
      </c>
      <c r="M299" s="84">
        <f t="shared" si="641"/>
        <v>1</v>
      </c>
      <c r="N299" s="84">
        <f t="shared" si="671"/>
        <v>91.400000000000546</v>
      </c>
      <c r="O299" s="84">
        <f>'HKL279'!F38</f>
        <v>2861.8</v>
      </c>
      <c r="P299" s="84">
        <f>'HKL279'!E38</f>
        <v>2951.2</v>
      </c>
      <c r="Q299" s="84">
        <f t="shared" si="604"/>
        <v>1</v>
      </c>
      <c r="R299" s="84">
        <f t="shared" si="672"/>
        <v>89.399999999999636</v>
      </c>
      <c r="S299" s="84">
        <f>'HKL279'!K38</f>
        <v>3468.9</v>
      </c>
      <c r="T299" s="84">
        <f>'HKL279'!J38</f>
        <v>3534.2</v>
      </c>
      <c r="U299" s="84">
        <f t="shared" si="642"/>
        <v>1</v>
      </c>
      <c r="V299" s="84">
        <f t="shared" si="673"/>
        <v>65.299999999999727</v>
      </c>
      <c r="W299" s="84">
        <f>'HKL279'!U38</f>
        <v>2.13</v>
      </c>
      <c r="X299" s="84">
        <f>'HKL279'!V38</f>
        <v>0.9</v>
      </c>
      <c r="Y299" s="85">
        <f t="shared" si="674"/>
        <v>1.0155555555555618</v>
      </c>
      <c r="Z299" s="84"/>
      <c r="AA299" s="82"/>
    </row>
    <row r="300" spans="1:27" s="40" customFormat="1" ht="39.950000000000003" hidden="1" customHeight="1" x14ac:dyDescent="0.25">
      <c r="A300" s="49">
        <v>31</v>
      </c>
      <c r="B300" s="50" t="s">
        <v>43</v>
      </c>
      <c r="C300" s="56" t="str">
        <f t="shared" si="600"/>
        <v>HDKOTE/1714</v>
      </c>
      <c r="D300" s="51" t="s">
        <v>168</v>
      </c>
      <c r="E300" s="55" t="str">
        <f t="shared" ref="E300:F300" si="675">E299</f>
        <v>HKL279</v>
      </c>
      <c r="F300" s="50">
        <f t="shared" si="675"/>
        <v>0.24</v>
      </c>
      <c r="G300" s="49" t="s">
        <v>221</v>
      </c>
      <c r="H300" s="64" t="s">
        <v>222</v>
      </c>
      <c r="I300" s="49">
        <f t="shared" ref="I300:J300" si="676">I299</f>
        <v>3</v>
      </c>
      <c r="J300" s="49" t="str">
        <f t="shared" si="676"/>
        <v>LT 3</v>
      </c>
      <c r="K300" s="84">
        <f>'HKL279'!Q78</f>
        <v>0</v>
      </c>
      <c r="L300" s="84">
        <f>'HKL279'!P78</f>
        <v>0</v>
      </c>
      <c r="M300" s="84">
        <f t="shared" si="641"/>
        <v>1</v>
      </c>
      <c r="N300" s="84">
        <f t="shared" si="671"/>
        <v>0</v>
      </c>
      <c r="O300" s="84">
        <f>'HKL279'!F78</f>
        <v>0</v>
      </c>
      <c r="P300" s="84">
        <f>'HKL279'!E78</f>
        <v>0</v>
      </c>
      <c r="Q300" s="84">
        <f t="shared" si="604"/>
        <v>1</v>
      </c>
      <c r="R300" s="84">
        <f t="shared" si="672"/>
        <v>0</v>
      </c>
      <c r="S300" s="84">
        <f>'HKL279'!K78</f>
        <v>0</v>
      </c>
      <c r="T300" s="84">
        <f>'HKL279'!J78</f>
        <v>0</v>
      </c>
      <c r="U300" s="84">
        <f t="shared" si="642"/>
        <v>1</v>
      </c>
      <c r="V300" s="84">
        <f t="shared" si="673"/>
        <v>0</v>
      </c>
      <c r="W300" s="84"/>
      <c r="X300" s="84"/>
      <c r="Y300" s="85">
        <f t="shared" si="674"/>
        <v>0</v>
      </c>
      <c r="Z300" s="84"/>
      <c r="AA300" s="82"/>
    </row>
    <row r="301" spans="1:27" s="40" customFormat="1" ht="39.950000000000003" hidden="1" customHeight="1" x14ac:dyDescent="0.25">
      <c r="A301" s="49">
        <v>32</v>
      </c>
      <c r="B301" s="50" t="s">
        <v>43</v>
      </c>
      <c r="C301" s="56" t="str">
        <f t="shared" si="600"/>
        <v>HDKOTE/1714</v>
      </c>
      <c r="D301" s="51" t="s">
        <v>168</v>
      </c>
      <c r="E301" s="55" t="str">
        <f t="shared" ref="E301:F301" si="677">E300</f>
        <v>HKL279</v>
      </c>
      <c r="F301" s="50">
        <f t="shared" si="677"/>
        <v>0.24</v>
      </c>
      <c r="G301" s="49" t="s">
        <v>221</v>
      </c>
      <c r="H301" s="64" t="s">
        <v>222</v>
      </c>
      <c r="I301" s="49">
        <f t="shared" ref="I301:J301" si="678">I300</f>
        <v>3</v>
      </c>
      <c r="J301" s="49" t="str">
        <f t="shared" si="678"/>
        <v>LT 3</v>
      </c>
      <c r="K301" s="84">
        <f>'HKL279'!Q79</f>
        <v>0</v>
      </c>
      <c r="L301" s="84">
        <f>'HKL279'!P79</f>
        <v>0</v>
      </c>
      <c r="M301" s="84">
        <f t="shared" si="641"/>
        <v>1</v>
      </c>
      <c r="N301" s="84">
        <f t="shared" si="671"/>
        <v>0</v>
      </c>
      <c r="O301" s="84">
        <f>'HKL279'!F79</f>
        <v>0</v>
      </c>
      <c r="P301" s="84">
        <f>'HKL279'!E79</f>
        <v>0</v>
      </c>
      <c r="Q301" s="84">
        <f t="shared" si="604"/>
        <v>1</v>
      </c>
      <c r="R301" s="84">
        <f t="shared" si="672"/>
        <v>0</v>
      </c>
      <c r="S301" s="84">
        <f>'HKL279'!K79</f>
        <v>0</v>
      </c>
      <c r="T301" s="84">
        <f>'HKL279'!J79</f>
        <v>0</v>
      </c>
      <c r="U301" s="84">
        <f t="shared" si="642"/>
        <v>1</v>
      </c>
      <c r="V301" s="84">
        <f t="shared" si="673"/>
        <v>0</v>
      </c>
      <c r="W301" s="84"/>
      <c r="X301" s="84"/>
      <c r="Y301" s="85">
        <f t="shared" si="674"/>
        <v>0</v>
      </c>
      <c r="Z301" s="84"/>
      <c r="AA301" s="82"/>
    </row>
    <row r="302" spans="1:27" s="40" customFormat="1" ht="39.950000000000003" hidden="1" customHeight="1" x14ac:dyDescent="0.25">
      <c r="A302" s="49"/>
      <c r="B302" s="50"/>
      <c r="C302" s="56"/>
      <c r="D302" s="51"/>
      <c r="E302" s="55"/>
      <c r="F302" s="50"/>
      <c r="G302" s="49"/>
      <c r="H302" s="64"/>
      <c r="I302" s="49"/>
      <c r="J302" s="49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5"/>
      <c r="Z302" s="84"/>
      <c r="AA302" s="82"/>
    </row>
    <row r="303" spans="1:27" s="40" customFormat="1" ht="39.950000000000003" hidden="1" customHeight="1" x14ac:dyDescent="0.25">
      <c r="A303" s="49">
        <v>1</v>
      </c>
      <c r="B303" s="50" t="s">
        <v>43</v>
      </c>
      <c r="C303" s="56" t="s">
        <v>229</v>
      </c>
      <c r="D303" s="51" t="s">
        <v>177</v>
      </c>
      <c r="E303" s="55" t="s">
        <v>202</v>
      </c>
      <c r="F303" s="50">
        <v>2</v>
      </c>
      <c r="G303" s="49" t="s">
        <v>221</v>
      </c>
      <c r="H303" s="64" t="s">
        <v>222</v>
      </c>
      <c r="I303" s="49">
        <v>3</v>
      </c>
      <c r="J303" s="49" t="s">
        <v>224</v>
      </c>
      <c r="K303" s="84">
        <f>HDTL60474!Q8</f>
        <v>985.7</v>
      </c>
      <c r="L303" s="84">
        <f>HDTL60474!P8</f>
        <v>1217.8</v>
      </c>
      <c r="M303" s="84">
        <f>'[1]April-18'!M15</f>
        <v>1</v>
      </c>
      <c r="N303" s="84">
        <f t="shared" si="0"/>
        <v>232.09999999999991</v>
      </c>
      <c r="O303" s="84">
        <f>HDTL60474!F8</f>
        <v>214.5</v>
      </c>
      <c r="P303" s="84">
        <f>HDTL60474!E8</f>
        <v>507.5</v>
      </c>
      <c r="Q303" s="84">
        <v>1</v>
      </c>
      <c r="R303" s="84">
        <f t="shared" si="7"/>
        <v>293</v>
      </c>
      <c r="S303" s="84">
        <f>HDTL60474!K8</f>
        <v>129.1</v>
      </c>
      <c r="T303" s="84">
        <f>HDTL60474!J8</f>
        <v>270.3</v>
      </c>
      <c r="U303" s="84">
        <f>'[1]April-18'!U15</f>
        <v>1</v>
      </c>
      <c r="V303" s="84">
        <f t="shared" si="8"/>
        <v>141.20000000000002</v>
      </c>
      <c r="W303" s="84"/>
      <c r="X303" s="84"/>
      <c r="Y303" s="85">
        <f t="shared" si="87"/>
        <v>2.5788888888888879</v>
      </c>
      <c r="Z303" s="86"/>
      <c r="AA303" s="82" t="str">
        <f>HDTL60474!B8</f>
        <v>01.08.2018</v>
      </c>
    </row>
    <row r="304" spans="1:27" s="40" customFormat="1" ht="39.950000000000003" hidden="1" customHeight="1" x14ac:dyDescent="0.25">
      <c r="A304" s="49">
        <v>2</v>
      </c>
      <c r="B304" s="50" t="s">
        <v>43</v>
      </c>
      <c r="C304" s="56" t="str">
        <f>C303</f>
        <v>HDKOTE/1714</v>
      </c>
      <c r="D304" s="51" t="s">
        <v>177</v>
      </c>
      <c r="E304" s="55" t="str">
        <f>HDTL60474!B3</f>
        <v>HDTL60474</v>
      </c>
      <c r="F304" s="50">
        <f>F303</f>
        <v>2</v>
      </c>
      <c r="G304" s="49" t="s">
        <v>221</v>
      </c>
      <c r="H304" s="64" t="s">
        <v>222</v>
      </c>
      <c r="I304" s="49">
        <f>I303</f>
        <v>3</v>
      </c>
      <c r="J304" s="49" t="str">
        <f>J303</f>
        <v>LT 3</v>
      </c>
      <c r="K304" s="84">
        <f>HDTL60474!Q9</f>
        <v>1217.8</v>
      </c>
      <c r="L304" s="84">
        <f>HDTL60474!P9</f>
        <v>1389.7</v>
      </c>
      <c r="M304" s="84">
        <f>'[1]April-18'!M16</f>
        <v>1</v>
      </c>
      <c r="N304" s="84">
        <f t="shared" si="0"/>
        <v>171.90000000000009</v>
      </c>
      <c r="O304" s="84">
        <f>HDTL60474!F9</f>
        <v>507.5</v>
      </c>
      <c r="P304" s="84">
        <f>HDTL60474!E9</f>
        <v>831</v>
      </c>
      <c r="Q304" s="84">
        <f>Q303</f>
        <v>1</v>
      </c>
      <c r="R304" s="84">
        <f t="shared" si="7"/>
        <v>323.5</v>
      </c>
      <c r="S304" s="84">
        <f>HDTL60474!K9</f>
        <v>270.3</v>
      </c>
      <c r="T304" s="84">
        <f>HDTL60474!J9</f>
        <v>374</v>
      </c>
      <c r="U304" s="84">
        <f>'[1]April-18'!U16</f>
        <v>1</v>
      </c>
      <c r="V304" s="84">
        <f t="shared" si="8"/>
        <v>103.69999999999999</v>
      </c>
      <c r="W304" s="84"/>
      <c r="X304" s="84"/>
      <c r="Y304" s="85">
        <f t="shared" si="87"/>
        <v>1.910000000000001</v>
      </c>
      <c r="Z304" s="86"/>
      <c r="AA304" s="82" t="str">
        <f>HDTL60474!B9</f>
        <v>01.09.2019</v>
      </c>
    </row>
    <row r="305" spans="1:27" s="40" customFormat="1" ht="39.950000000000003" hidden="1" customHeight="1" x14ac:dyDescent="0.25">
      <c r="A305" s="49">
        <v>3</v>
      </c>
      <c r="B305" s="50" t="s">
        <v>43</v>
      </c>
      <c r="C305" s="56" t="str">
        <f>C304</f>
        <v>HDKOTE/1714</v>
      </c>
      <c r="D305" s="51" t="s">
        <v>177</v>
      </c>
      <c r="E305" s="55" t="str">
        <f>E304</f>
        <v>HDTL60474</v>
      </c>
      <c r="F305" s="50">
        <f>F304</f>
        <v>2</v>
      </c>
      <c r="G305" s="49" t="s">
        <v>221</v>
      </c>
      <c r="H305" s="64" t="s">
        <v>222</v>
      </c>
      <c r="I305" s="49">
        <f>I304</f>
        <v>3</v>
      </c>
      <c r="J305" s="49" t="str">
        <f>J304</f>
        <v>LT 3</v>
      </c>
      <c r="K305" s="84">
        <f>HDTL60474!Q10</f>
        <v>1389.7</v>
      </c>
      <c r="L305" s="84">
        <f>HDTL60474!P10</f>
        <v>1619.4</v>
      </c>
      <c r="M305" s="84">
        <f>'[1]April-18'!M17</f>
        <v>1</v>
      </c>
      <c r="N305" s="84">
        <f t="shared" si="0"/>
        <v>229.70000000000005</v>
      </c>
      <c r="O305" s="84">
        <f>HDTL60474!F10</f>
        <v>831</v>
      </c>
      <c r="P305" s="84">
        <f>HDTL60474!E10</f>
        <v>1170.8</v>
      </c>
      <c r="Q305" s="84">
        <f>Q304</f>
        <v>1</v>
      </c>
      <c r="R305" s="84">
        <f t="shared" si="7"/>
        <v>339.79999999999995</v>
      </c>
      <c r="S305" s="84">
        <f>HDTL60474!K10</f>
        <v>374</v>
      </c>
      <c r="T305" s="84">
        <f>HDTL60474!J10</f>
        <v>502.2</v>
      </c>
      <c r="U305" s="84">
        <f>'[1]April-18'!U17</f>
        <v>1</v>
      </c>
      <c r="V305" s="84">
        <f t="shared" si="8"/>
        <v>128.19999999999999</v>
      </c>
      <c r="W305" s="84"/>
      <c r="X305" s="84"/>
      <c r="Y305" s="85">
        <f t="shared" si="87"/>
        <v>2.5522222222222228</v>
      </c>
      <c r="Z305" s="86"/>
      <c r="AA305" s="82" t="str">
        <f>HDTL60474!B10</f>
        <v>01.10.2019</v>
      </c>
    </row>
    <row r="306" spans="1:27" s="40" customFormat="1" ht="39.950000000000003" hidden="1" customHeight="1" x14ac:dyDescent="0.25">
      <c r="A306" s="49">
        <v>4</v>
      </c>
      <c r="B306" s="50" t="s">
        <v>43</v>
      </c>
      <c r="C306" s="56" t="str">
        <f t="shared" ref="C306:C333" si="679">C305</f>
        <v>HDKOTE/1714</v>
      </c>
      <c r="D306" s="51" t="s">
        <v>177</v>
      </c>
      <c r="E306" s="55" t="str">
        <f t="shared" ref="E306:F309" si="680">E305</f>
        <v>HDTL60474</v>
      </c>
      <c r="F306" s="50">
        <f t="shared" si="680"/>
        <v>2</v>
      </c>
      <c r="G306" s="49" t="s">
        <v>221</v>
      </c>
      <c r="H306" s="64" t="s">
        <v>222</v>
      </c>
      <c r="I306" s="49">
        <f t="shared" ref="I306:J309" si="681">I305</f>
        <v>3</v>
      </c>
      <c r="J306" s="49" t="str">
        <f t="shared" si="681"/>
        <v>LT 3</v>
      </c>
      <c r="K306" s="84">
        <f>HDTL60474!Q11</f>
        <v>1619.4</v>
      </c>
      <c r="L306" s="84">
        <f>HDTL60474!P11</f>
        <v>1757.5</v>
      </c>
      <c r="M306" s="84">
        <f>'[1]April-18'!M18</f>
        <v>1</v>
      </c>
      <c r="N306" s="84">
        <f t="shared" si="0"/>
        <v>138.09999999999991</v>
      </c>
      <c r="O306" s="84">
        <f>HDTL60474!F11</f>
        <v>1170.8</v>
      </c>
      <c r="P306" s="84">
        <f>HDTL60474!E11</f>
        <v>1439</v>
      </c>
      <c r="Q306" s="84">
        <f t="shared" ref="Q306:Q333" si="682">Q305</f>
        <v>1</v>
      </c>
      <c r="R306" s="84">
        <f t="shared" si="7"/>
        <v>268.20000000000005</v>
      </c>
      <c r="S306" s="84">
        <f>HDTL60474!K11</f>
        <v>502.2</v>
      </c>
      <c r="T306" s="84">
        <f>HDTL60474!J11</f>
        <v>603.6</v>
      </c>
      <c r="U306" s="84">
        <f>'[1]April-18'!U18</f>
        <v>1</v>
      </c>
      <c r="V306" s="84">
        <f t="shared" si="8"/>
        <v>101.40000000000003</v>
      </c>
      <c r="W306" s="84"/>
      <c r="X306" s="84"/>
      <c r="Y306" s="85">
        <f t="shared" si="87"/>
        <v>1.5344444444444434</v>
      </c>
      <c r="Z306" s="86"/>
      <c r="AA306" s="82" t="str">
        <f>HDTL60474!B11</f>
        <v>01.11.2019</v>
      </c>
    </row>
    <row r="307" spans="1:27" s="40" customFormat="1" ht="39.950000000000003" hidden="1" customHeight="1" x14ac:dyDescent="0.25">
      <c r="A307" s="49">
        <v>5</v>
      </c>
      <c r="B307" s="50" t="s">
        <v>43</v>
      </c>
      <c r="C307" s="56" t="str">
        <f t="shared" si="679"/>
        <v>HDKOTE/1714</v>
      </c>
      <c r="D307" s="51" t="s">
        <v>177</v>
      </c>
      <c r="E307" s="55" t="str">
        <f t="shared" si="680"/>
        <v>HDTL60474</v>
      </c>
      <c r="F307" s="50">
        <f t="shared" si="680"/>
        <v>2</v>
      </c>
      <c r="G307" s="49" t="s">
        <v>221</v>
      </c>
      <c r="H307" s="64" t="s">
        <v>222</v>
      </c>
      <c r="I307" s="49">
        <f t="shared" si="681"/>
        <v>3</v>
      </c>
      <c r="J307" s="49" t="str">
        <f t="shared" si="681"/>
        <v>LT 3</v>
      </c>
      <c r="K307" s="84">
        <f>HDTL60474!Q12</f>
        <v>1757.5</v>
      </c>
      <c r="L307" s="84">
        <f>HDTL60474!P12</f>
        <v>1763.4</v>
      </c>
      <c r="M307" s="84">
        <f>'[1]April-18'!M19</f>
        <v>1</v>
      </c>
      <c r="N307" s="84">
        <f t="shared" si="0"/>
        <v>5.9000000000000909</v>
      </c>
      <c r="O307" s="84">
        <f>HDTL60474!F12</f>
        <v>1439</v>
      </c>
      <c r="P307" s="84">
        <f>HDTL60474!E12</f>
        <v>1772.7</v>
      </c>
      <c r="Q307" s="84">
        <f t="shared" si="682"/>
        <v>1</v>
      </c>
      <c r="R307" s="84">
        <f t="shared" ref="R307:R606" si="683">(P307-O307)*Q307</f>
        <v>333.70000000000005</v>
      </c>
      <c r="S307" s="84">
        <f>HDTL60474!K12</f>
        <v>603.6</v>
      </c>
      <c r="T307" s="84">
        <f>HDTL60474!J12</f>
        <v>606.4</v>
      </c>
      <c r="U307" s="84">
        <f>'[1]April-18'!U19</f>
        <v>1</v>
      </c>
      <c r="V307" s="84">
        <f t="shared" ref="V307:V606" si="684">(T307-S307)*U307</f>
        <v>2.7999999999999545</v>
      </c>
      <c r="W307" s="84"/>
      <c r="X307" s="84"/>
      <c r="Y307" s="85">
        <f t="shared" si="87"/>
        <v>6.5555555555556574E-2</v>
      </c>
      <c r="Z307" s="86" t="s">
        <v>250</v>
      </c>
      <c r="AA307" s="82" t="str">
        <f>HDTL60474!B12</f>
        <v>01.12.2019</v>
      </c>
    </row>
    <row r="308" spans="1:27" s="40" customFormat="1" ht="39.950000000000003" hidden="1" customHeight="1" x14ac:dyDescent="0.25">
      <c r="A308" s="49">
        <v>6</v>
      </c>
      <c r="B308" s="50" t="s">
        <v>43</v>
      </c>
      <c r="C308" s="56" t="str">
        <f t="shared" si="679"/>
        <v>HDKOTE/1714</v>
      </c>
      <c r="D308" s="51" t="s">
        <v>177</v>
      </c>
      <c r="E308" s="55" t="str">
        <f t="shared" si="680"/>
        <v>HDTL60474</v>
      </c>
      <c r="F308" s="50">
        <f t="shared" si="680"/>
        <v>2</v>
      </c>
      <c r="G308" s="49" t="s">
        <v>221</v>
      </c>
      <c r="H308" s="64" t="s">
        <v>222</v>
      </c>
      <c r="I308" s="49">
        <f t="shared" si="681"/>
        <v>3</v>
      </c>
      <c r="J308" s="49" t="str">
        <f t="shared" si="681"/>
        <v>LT 3</v>
      </c>
      <c r="K308" s="84">
        <f>HDTL60474!Q13</f>
        <v>1763.4</v>
      </c>
      <c r="L308" s="84">
        <f>HDTL60474!P13</f>
        <v>1919</v>
      </c>
      <c r="M308" s="84">
        <f>'[1]April-18'!M20</f>
        <v>1</v>
      </c>
      <c r="N308" s="84">
        <f t="shared" si="0"/>
        <v>155.59999999999991</v>
      </c>
      <c r="O308" s="84">
        <f>HDTL60474!F13</f>
        <v>1772.7</v>
      </c>
      <c r="P308" s="84">
        <f>HDTL60474!E13</f>
        <v>2042</v>
      </c>
      <c r="Q308" s="84">
        <f t="shared" si="682"/>
        <v>1</v>
      </c>
      <c r="R308" s="84">
        <f t="shared" si="683"/>
        <v>269.29999999999995</v>
      </c>
      <c r="S308" s="84">
        <f>HDTL60474!K13</f>
        <v>606.4</v>
      </c>
      <c r="T308" s="84">
        <f>HDTL60474!J13</f>
        <v>705</v>
      </c>
      <c r="U308" s="84">
        <f>'[1]April-18'!U20</f>
        <v>1</v>
      </c>
      <c r="V308" s="84">
        <f t="shared" si="684"/>
        <v>98.600000000000023</v>
      </c>
      <c r="W308" s="84"/>
      <c r="X308" s="84"/>
      <c r="Y308" s="85">
        <f t="shared" si="87"/>
        <v>1.728888888888888</v>
      </c>
      <c r="Z308" s="86"/>
      <c r="AA308" s="82" t="str">
        <f>HDTL60474!B13</f>
        <v>01.01.2020</v>
      </c>
    </row>
    <row r="309" spans="1:27" s="40" customFormat="1" ht="39.950000000000003" hidden="1" customHeight="1" x14ac:dyDescent="0.25">
      <c r="A309" s="49">
        <v>7</v>
      </c>
      <c r="B309" s="50" t="s">
        <v>43</v>
      </c>
      <c r="C309" s="56" t="str">
        <f t="shared" si="679"/>
        <v>HDKOTE/1714</v>
      </c>
      <c r="D309" s="51" t="s">
        <v>177</v>
      </c>
      <c r="E309" s="55" t="str">
        <f t="shared" si="680"/>
        <v>HDTL60474</v>
      </c>
      <c r="F309" s="50">
        <f t="shared" si="680"/>
        <v>2</v>
      </c>
      <c r="G309" s="49" t="s">
        <v>221</v>
      </c>
      <c r="H309" s="64" t="s">
        <v>222</v>
      </c>
      <c r="I309" s="49">
        <f t="shared" si="681"/>
        <v>3</v>
      </c>
      <c r="J309" s="49" t="str">
        <f t="shared" si="681"/>
        <v>LT 3</v>
      </c>
      <c r="K309" s="84">
        <f>HDTL60474!Q14</f>
        <v>1919</v>
      </c>
      <c r="L309" s="84">
        <f>HDTL60474!P14</f>
        <v>2051.8000000000002</v>
      </c>
      <c r="M309" s="84">
        <f>'[1]April-18'!M21</f>
        <v>1</v>
      </c>
      <c r="N309" s="84">
        <f t="shared" si="0"/>
        <v>132.80000000000018</v>
      </c>
      <c r="O309" s="84">
        <f>HDTL60474!F14</f>
        <v>2042</v>
      </c>
      <c r="P309" s="84">
        <f>HDTL60474!E14</f>
        <v>2338.4</v>
      </c>
      <c r="Q309" s="84">
        <f t="shared" si="682"/>
        <v>1</v>
      </c>
      <c r="R309" s="84">
        <f t="shared" si="683"/>
        <v>296.40000000000009</v>
      </c>
      <c r="S309" s="84">
        <f>HDTL60474!K14</f>
        <v>705</v>
      </c>
      <c r="T309" s="84">
        <f>HDTL60474!J14</f>
        <v>787.6</v>
      </c>
      <c r="U309" s="84">
        <f>'[1]April-18'!U21</f>
        <v>1</v>
      </c>
      <c r="V309" s="84">
        <f t="shared" si="684"/>
        <v>82.600000000000023</v>
      </c>
      <c r="W309" s="84"/>
      <c r="X309" s="84"/>
      <c r="Y309" s="85">
        <f t="shared" si="87"/>
        <v>1.4755555555555577</v>
      </c>
      <c r="Z309" s="86"/>
      <c r="AA309" s="82" t="s">
        <v>253</v>
      </c>
    </row>
    <row r="310" spans="1:27" s="40" customFormat="1" ht="39.950000000000003" hidden="1" customHeight="1" x14ac:dyDescent="0.25">
      <c r="A310" s="49">
        <v>8</v>
      </c>
      <c r="B310" s="50" t="s">
        <v>43</v>
      </c>
      <c r="C310" s="56" t="str">
        <f t="shared" si="679"/>
        <v>HDKOTE/1714</v>
      </c>
      <c r="D310" s="51" t="s">
        <v>177</v>
      </c>
      <c r="E310" s="55" t="str">
        <f t="shared" ref="E310:F310" si="685">E309</f>
        <v>HDTL60474</v>
      </c>
      <c r="F310" s="50">
        <f t="shared" si="685"/>
        <v>2</v>
      </c>
      <c r="G310" s="49" t="s">
        <v>221</v>
      </c>
      <c r="H310" s="64" t="s">
        <v>222</v>
      </c>
      <c r="I310" s="49">
        <f t="shared" ref="I310:J310" si="686">I309</f>
        <v>3</v>
      </c>
      <c r="J310" s="49" t="str">
        <f t="shared" si="686"/>
        <v>LT 3</v>
      </c>
      <c r="K310" s="84">
        <f>HDTL60474!Q15</f>
        <v>2051.8000000000002</v>
      </c>
      <c r="L310" s="84">
        <f>HDTL60474!P15</f>
        <v>2221.8000000000002</v>
      </c>
      <c r="M310" s="84">
        <f>'[1]April-18'!M22</f>
        <v>1</v>
      </c>
      <c r="N310" s="84">
        <f t="shared" ref="N310:N315" si="687">(L310-K310)*M310</f>
        <v>170</v>
      </c>
      <c r="O310" s="84">
        <f>HDTL60474!F15</f>
        <v>2338.4</v>
      </c>
      <c r="P310" s="84">
        <f>HDTL60474!E15</f>
        <v>2625.4</v>
      </c>
      <c r="Q310" s="84">
        <f t="shared" si="682"/>
        <v>1</v>
      </c>
      <c r="R310" s="84">
        <f t="shared" ref="R310:R315" si="688">(P310-O310)*Q310</f>
        <v>287</v>
      </c>
      <c r="S310" s="84">
        <f>HDTL60474!K15</f>
        <v>787.6</v>
      </c>
      <c r="T310" s="84">
        <f>HDTL60474!J15</f>
        <v>897.2</v>
      </c>
      <c r="U310" s="84">
        <f>'[1]April-18'!U22</f>
        <v>1</v>
      </c>
      <c r="V310" s="84">
        <f t="shared" ref="V310:V315" si="689">(T310-S310)*U310</f>
        <v>109.60000000000002</v>
      </c>
      <c r="W310" s="84"/>
      <c r="X310" s="84"/>
      <c r="Y310" s="85">
        <f t="shared" ref="Y310:Y315" si="690">N310/30/I310</f>
        <v>1.8888888888888891</v>
      </c>
      <c r="Z310" s="86"/>
      <c r="AA310" s="82" t="s">
        <v>254</v>
      </c>
    </row>
    <row r="311" spans="1:27" s="40" customFormat="1" ht="39.950000000000003" hidden="1" customHeight="1" x14ac:dyDescent="0.25">
      <c r="A311" s="49">
        <v>9</v>
      </c>
      <c r="B311" s="50" t="s">
        <v>43</v>
      </c>
      <c r="C311" s="56" t="str">
        <f t="shared" si="679"/>
        <v>HDKOTE/1714</v>
      </c>
      <c r="D311" s="51" t="s">
        <v>177</v>
      </c>
      <c r="E311" s="55" t="str">
        <f t="shared" ref="E311:F311" si="691">E310</f>
        <v>HDTL60474</v>
      </c>
      <c r="F311" s="50">
        <f t="shared" si="691"/>
        <v>2</v>
      </c>
      <c r="G311" s="49" t="s">
        <v>221</v>
      </c>
      <c r="H311" s="64" t="s">
        <v>222</v>
      </c>
      <c r="I311" s="49">
        <f t="shared" ref="I311:J311" si="692">I310</f>
        <v>3</v>
      </c>
      <c r="J311" s="49" t="str">
        <f t="shared" si="692"/>
        <v>LT 3</v>
      </c>
      <c r="K311" s="84">
        <f>HDTL60474!Q16</f>
        <v>2221.8000000000002</v>
      </c>
      <c r="L311" s="84">
        <f>HDTL60474!P16</f>
        <v>2323.8000000000002</v>
      </c>
      <c r="M311" s="84">
        <f>'[1]April-18'!M23</f>
        <v>1</v>
      </c>
      <c r="N311" s="84">
        <f t="shared" si="687"/>
        <v>102</v>
      </c>
      <c r="O311" s="84">
        <f>HDTL60474!F16</f>
        <v>2625.4</v>
      </c>
      <c r="P311" s="84">
        <f>HDTL60474!E16</f>
        <v>2697.4</v>
      </c>
      <c r="Q311" s="84">
        <f t="shared" si="682"/>
        <v>1</v>
      </c>
      <c r="R311" s="84">
        <f t="shared" si="688"/>
        <v>72</v>
      </c>
      <c r="S311" s="84">
        <f>HDTL60474!K16</f>
        <v>897.2</v>
      </c>
      <c r="T311" s="84">
        <f>HDTL60474!J16</f>
        <v>990.2</v>
      </c>
      <c r="U311" s="84">
        <f>'[1]April-18'!U23</f>
        <v>1</v>
      </c>
      <c r="V311" s="84">
        <f t="shared" si="689"/>
        <v>93</v>
      </c>
      <c r="W311" s="84"/>
      <c r="X311" s="84"/>
      <c r="Y311" s="85">
        <f t="shared" si="690"/>
        <v>1.1333333333333333</v>
      </c>
      <c r="Z311" s="86"/>
      <c r="AA311" s="82" t="s">
        <v>258</v>
      </c>
    </row>
    <row r="312" spans="1:27" s="40" customFormat="1" ht="39.950000000000003" hidden="1" customHeight="1" x14ac:dyDescent="0.25">
      <c r="A312" s="49">
        <v>10</v>
      </c>
      <c r="B312" s="50" t="s">
        <v>43</v>
      </c>
      <c r="C312" s="56" t="str">
        <f t="shared" si="679"/>
        <v>HDKOTE/1714</v>
      </c>
      <c r="D312" s="51" t="s">
        <v>177</v>
      </c>
      <c r="E312" s="55" t="str">
        <f t="shared" ref="E312:F312" si="693">E311</f>
        <v>HDTL60474</v>
      </c>
      <c r="F312" s="50">
        <f t="shared" si="693"/>
        <v>2</v>
      </c>
      <c r="G312" s="49" t="s">
        <v>221</v>
      </c>
      <c r="H312" s="64" t="s">
        <v>222</v>
      </c>
      <c r="I312" s="49">
        <f t="shared" ref="I312:J312" si="694">I311</f>
        <v>3</v>
      </c>
      <c r="J312" s="49" t="str">
        <f t="shared" si="694"/>
        <v>LT 3</v>
      </c>
      <c r="K312" s="84">
        <f>HDTL60474!Q17</f>
        <v>0</v>
      </c>
      <c r="L312" s="84">
        <f>HDTL60474!P17</f>
        <v>0</v>
      </c>
      <c r="M312" s="84">
        <f>'[1]April-18'!M24</f>
        <v>1</v>
      </c>
      <c r="N312" s="84">
        <f t="shared" si="687"/>
        <v>0</v>
      </c>
      <c r="O312" s="84">
        <f>HDTL60474!F17</f>
        <v>0</v>
      </c>
      <c r="P312" s="84">
        <f>HDTL60474!E17</f>
        <v>0</v>
      </c>
      <c r="Q312" s="84">
        <f t="shared" si="682"/>
        <v>1</v>
      </c>
      <c r="R312" s="84">
        <f t="shared" si="688"/>
        <v>0</v>
      </c>
      <c r="S312" s="84">
        <f>HDTL60474!K17</f>
        <v>0</v>
      </c>
      <c r="T312" s="84">
        <f>HDTL60474!J17</f>
        <v>0</v>
      </c>
      <c r="U312" s="84">
        <f>'[1]April-18'!U24</f>
        <v>1</v>
      </c>
      <c r="V312" s="84">
        <f t="shared" si="689"/>
        <v>0</v>
      </c>
      <c r="W312" s="84"/>
      <c r="X312" s="84"/>
      <c r="Y312" s="85">
        <f t="shared" si="690"/>
        <v>0</v>
      </c>
      <c r="Z312" s="86"/>
      <c r="AA312" s="82"/>
    </row>
    <row r="313" spans="1:27" s="40" customFormat="1" ht="39.950000000000003" hidden="1" customHeight="1" x14ac:dyDescent="0.25">
      <c r="A313" s="49">
        <v>11</v>
      </c>
      <c r="B313" s="50" t="s">
        <v>43</v>
      </c>
      <c r="C313" s="56" t="str">
        <f t="shared" si="679"/>
        <v>HDKOTE/1714</v>
      </c>
      <c r="D313" s="51" t="s">
        <v>177</v>
      </c>
      <c r="E313" s="55" t="str">
        <f t="shared" ref="E313:F313" si="695">E312</f>
        <v>HDTL60474</v>
      </c>
      <c r="F313" s="50">
        <f t="shared" si="695"/>
        <v>2</v>
      </c>
      <c r="G313" s="49" t="s">
        <v>221</v>
      </c>
      <c r="H313" s="64" t="s">
        <v>222</v>
      </c>
      <c r="I313" s="49">
        <f t="shared" ref="I313:J313" si="696">I312</f>
        <v>3</v>
      </c>
      <c r="J313" s="49" t="str">
        <f t="shared" si="696"/>
        <v>LT 3</v>
      </c>
      <c r="K313" s="84">
        <f>HDTL60474!Q18</f>
        <v>2323.8000000000002</v>
      </c>
      <c r="L313" s="84">
        <f>HDTL60474!P18</f>
        <v>2420.8000000000002</v>
      </c>
      <c r="M313" s="84">
        <f>'[1]April-18'!M25</f>
        <v>1</v>
      </c>
      <c r="N313" s="84">
        <f t="shared" si="687"/>
        <v>97</v>
      </c>
      <c r="O313" s="84">
        <f>HDTL60474!F18</f>
        <v>2697.4</v>
      </c>
      <c r="P313" s="84">
        <f>HDTL60474!E18</f>
        <v>2769.9</v>
      </c>
      <c r="Q313" s="84">
        <f t="shared" si="682"/>
        <v>1</v>
      </c>
      <c r="R313" s="84">
        <f t="shared" si="688"/>
        <v>72.5</v>
      </c>
      <c r="S313" s="84">
        <f>HDTL60474!K18</f>
        <v>990.2</v>
      </c>
      <c r="T313" s="84">
        <f>HDTL60474!J18</f>
        <v>1084.5999999999999</v>
      </c>
      <c r="U313" s="84">
        <f>'[1]April-18'!U25</f>
        <v>1</v>
      </c>
      <c r="V313" s="84">
        <f t="shared" si="689"/>
        <v>94.399999999999864</v>
      </c>
      <c r="W313" s="84"/>
      <c r="X313" s="84"/>
      <c r="Y313" s="85">
        <f t="shared" si="690"/>
        <v>1.0777777777777777</v>
      </c>
      <c r="Z313" s="86"/>
      <c r="AA313" s="82" t="s">
        <v>259</v>
      </c>
    </row>
    <row r="314" spans="1:27" s="40" customFormat="1" ht="39.950000000000003" hidden="1" customHeight="1" x14ac:dyDescent="0.25">
      <c r="A314" s="49">
        <v>12</v>
      </c>
      <c r="B314" s="50" t="s">
        <v>43</v>
      </c>
      <c r="C314" s="56" t="str">
        <f t="shared" si="679"/>
        <v>HDKOTE/1714</v>
      </c>
      <c r="D314" s="51" t="s">
        <v>177</v>
      </c>
      <c r="E314" s="55" t="str">
        <f t="shared" ref="E314:F314" si="697">E313</f>
        <v>HDTL60474</v>
      </c>
      <c r="F314" s="50">
        <f t="shared" si="697"/>
        <v>2</v>
      </c>
      <c r="G314" s="49" t="s">
        <v>221</v>
      </c>
      <c r="H314" s="64" t="s">
        <v>222</v>
      </c>
      <c r="I314" s="49">
        <f t="shared" ref="I314:J314" si="698">I313</f>
        <v>3</v>
      </c>
      <c r="J314" s="49" t="str">
        <f t="shared" si="698"/>
        <v>LT 3</v>
      </c>
      <c r="K314" s="84">
        <f>HDTL60474!Q19</f>
        <v>2420.8000000000002</v>
      </c>
      <c r="L314" s="84">
        <f>HDTL60474!P19</f>
        <v>2700.8</v>
      </c>
      <c r="M314" s="84">
        <f>M313</f>
        <v>1</v>
      </c>
      <c r="N314" s="84">
        <f t="shared" si="687"/>
        <v>280</v>
      </c>
      <c r="O314" s="84">
        <f>HDTL60474!F19</f>
        <v>2769.9</v>
      </c>
      <c r="P314" s="84">
        <f>HDTL60474!E19</f>
        <v>2784.4</v>
      </c>
      <c r="Q314" s="84">
        <f t="shared" si="682"/>
        <v>1</v>
      </c>
      <c r="R314" s="84">
        <f t="shared" si="688"/>
        <v>14.5</v>
      </c>
      <c r="S314" s="84">
        <f>HDTL60474!K19</f>
        <v>1084.5999999999999</v>
      </c>
      <c r="T314" s="84">
        <f>HDTL60474!J19</f>
        <v>1363.4</v>
      </c>
      <c r="U314" s="84">
        <f>U313</f>
        <v>1</v>
      </c>
      <c r="V314" s="84">
        <f t="shared" si="689"/>
        <v>278.80000000000018</v>
      </c>
      <c r="W314" s="84"/>
      <c r="X314" s="84"/>
      <c r="Y314" s="85">
        <f t="shared" si="690"/>
        <v>3.1111111111111112</v>
      </c>
      <c r="Z314" s="86"/>
      <c r="AA314" s="82" t="s">
        <v>263</v>
      </c>
    </row>
    <row r="315" spans="1:27" s="40" customFormat="1" ht="39.950000000000003" hidden="1" customHeight="1" x14ac:dyDescent="0.25">
      <c r="A315" s="49">
        <v>13</v>
      </c>
      <c r="B315" s="50" t="s">
        <v>43</v>
      </c>
      <c r="C315" s="56" t="str">
        <f t="shared" si="679"/>
        <v>HDKOTE/1714</v>
      </c>
      <c r="D315" s="51" t="s">
        <v>177</v>
      </c>
      <c r="E315" s="55" t="str">
        <f t="shared" ref="E315:F315" si="699">E314</f>
        <v>HDTL60474</v>
      </c>
      <c r="F315" s="50">
        <f t="shared" si="699"/>
        <v>2</v>
      </c>
      <c r="G315" s="49" t="s">
        <v>221</v>
      </c>
      <c r="H315" s="64" t="s">
        <v>222</v>
      </c>
      <c r="I315" s="49">
        <f t="shared" ref="I315:J315" si="700">I314</f>
        <v>3</v>
      </c>
      <c r="J315" s="49" t="str">
        <f t="shared" si="700"/>
        <v>LT 3</v>
      </c>
      <c r="K315" s="84">
        <f>HDTL60474!Q20</f>
        <v>2700.8</v>
      </c>
      <c r="L315" s="84">
        <f>HDTL60474!P20</f>
        <v>2774</v>
      </c>
      <c r="M315" s="84">
        <f>M314</f>
        <v>1</v>
      </c>
      <c r="N315" s="84">
        <f t="shared" si="687"/>
        <v>73.199999999999818</v>
      </c>
      <c r="O315" s="84">
        <f>HDTL60474!F20</f>
        <v>2784.4</v>
      </c>
      <c r="P315" s="84">
        <f>HDTL60474!E20</f>
        <v>2819.6</v>
      </c>
      <c r="Q315" s="84">
        <f t="shared" si="682"/>
        <v>1</v>
      </c>
      <c r="R315" s="84">
        <f t="shared" si="688"/>
        <v>35.199999999999818</v>
      </c>
      <c r="S315" s="84">
        <f>HDTL60474!K20</f>
        <v>1363.4</v>
      </c>
      <c r="T315" s="84">
        <f>HDTL60474!J20</f>
        <v>1428.2</v>
      </c>
      <c r="U315" s="84">
        <f>U314</f>
        <v>1</v>
      </c>
      <c r="V315" s="84">
        <f t="shared" si="689"/>
        <v>64.799999999999955</v>
      </c>
      <c r="W315" s="84"/>
      <c r="X315" s="84"/>
      <c r="Y315" s="85">
        <f t="shared" si="690"/>
        <v>0.81333333333333124</v>
      </c>
      <c r="Z315" s="86"/>
      <c r="AA315" s="82" t="s">
        <v>265</v>
      </c>
    </row>
    <row r="316" spans="1:27" s="40" customFormat="1" ht="39.950000000000003" hidden="1" customHeight="1" x14ac:dyDescent="0.25">
      <c r="A316" s="49">
        <v>14</v>
      </c>
      <c r="B316" s="50" t="s">
        <v>43</v>
      </c>
      <c r="C316" s="56" t="str">
        <f t="shared" si="679"/>
        <v>HDKOTE/1714</v>
      </c>
      <c r="D316" s="51" t="s">
        <v>177</v>
      </c>
      <c r="E316" s="55" t="str">
        <f t="shared" ref="E316:F316" si="701">E315</f>
        <v>HDTL60474</v>
      </c>
      <c r="F316" s="50">
        <f t="shared" si="701"/>
        <v>2</v>
      </c>
      <c r="G316" s="49" t="s">
        <v>221</v>
      </c>
      <c r="H316" s="64" t="s">
        <v>222</v>
      </c>
      <c r="I316" s="49">
        <f t="shared" ref="I316:J316" si="702">I315</f>
        <v>3</v>
      </c>
      <c r="J316" s="49" t="str">
        <f t="shared" si="702"/>
        <v>LT 3</v>
      </c>
      <c r="K316" s="84">
        <f>HDTL60474!Q21</f>
        <v>2774</v>
      </c>
      <c r="L316" s="84">
        <f>HDTL60474!P21</f>
        <v>2851</v>
      </c>
      <c r="M316" s="84">
        <f t="shared" ref="M316:M333" si="703">M315</f>
        <v>1</v>
      </c>
      <c r="N316" s="84">
        <f t="shared" ref="N316:N320" si="704">(L316-K316)*M316</f>
        <v>77</v>
      </c>
      <c r="O316" s="84">
        <f>HDTL60474!F21</f>
        <v>2819.6</v>
      </c>
      <c r="P316" s="84">
        <f>HDTL60474!E21</f>
        <v>2832.4</v>
      </c>
      <c r="Q316" s="84">
        <f t="shared" si="682"/>
        <v>1</v>
      </c>
      <c r="R316" s="84">
        <f t="shared" ref="R316:R320" si="705">(P316-O316)*Q316</f>
        <v>12.800000000000182</v>
      </c>
      <c r="S316" s="84">
        <f>HDTL60474!K21</f>
        <v>1428.2</v>
      </c>
      <c r="T316" s="84">
        <f>HDTL60474!J21</f>
        <v>1488.2</v>
      </c>
      <c r="U316" s="84">
        <f t="shared" ref="U316:U333" si="706">U315</f>
        <v>1</v>
      </c>
      <c r="V316" s="84">
        <f t="shared" ref="V316:V320" si="707">(T316-S316)*U316</f>
        <v>60</v>
      </c>
      <c r="W316" s="84"/>
      <c r="X316" s="84"/>
      <c r="Y316" s="85">
        <f t="shared" ref="Y316:Y320" si="708">N316/30/I316</f>
        <v>0.85555555555555562</v>
      </c>
      <c r="Z316" s="86"/>
      <c r="AA316" s="82"/>
    </row>
    <row r="317" spans="1:27" s="40" customFormat="1" ht="39.950000000000003" hidden="1" customHeight="1" x14ac:dyDescent="0.25">
      <c r="A317" s="49">
        <v>15</v>
      </c>
      <c r="B317" s="50" t="s">
        <v>43</v>
      </c>
      <c r="C317" s="56" t="str">
        <f t="shared" si="679"/>
        <v>HDKOTE/1714</v>
      </c>
      <c r="D317" s="51" t="s">
        <v>177</v>
      </c>
      <c r="E317" s="55" t="str">
        <f t="shared" ref="E317:F317" si="709">E316</f>
        <v>HDTL60474</v>
      </c>
      <c r="F317" s="50">
        <f t="shared" si="709"/>
        <v>2</v>
      </c>
      <c r="G317" s="49" t="s">
        <v>221</v>
      </c>
      <c r="H317" s="64" t="s">
        <v>222</v>
      </c>
      <c r="I317" s="49">
        <f t="shared" ref="I317:J317" si="710">I316</f>
        <v>3</v>
      </c>
      <c r="J317" s="49" t="str">
        <f t="shared" si="710"/>
        <v>LT 3</v>
      </c>
      <c r="K317" s="84">
        <f>HDTL60474!Q22</f>
        <v>2851</v>
      </c>
      <c r="L317" s="84">
        <f>HDTL60474!P22</f>
        <v>3067</v>
      </c>
      <c r="M317" s="84">
        <f t="shared" si="703"/>
        <v>1</v>
      </c>
      <c r="N317" s="84">
        <f t="shared" si="704"/>
        <v>216</v>
      </c>
      <c r="O317" s="84">
        <f>HDTL60474!F22</f>
        <v>2832.4</v>
      </c>
      <c r="P317" s="84">
        <f>HDTL60474!E22</f>
        <v>2856</v>
      </c>
      <c r="Q317" s="84">
        <f t="shared" si="682"/>
        <v>1</v>
      </c>
      <c r="R317" s="84">
        <f t="shared" si="705"/>
        <v>23.599999999999909</v>
      </c>
      <c r="S317" s="84">
        <f>HDTL60474!K22</f>
        <v>1488.2</v>
      </c>
      <c r="T317" s="84">
        <f>HDTL60474!J22</f>
        <v>1626</v>
      </c>
      <c r="U317" s="84">
        <f t="shared" si="706"/>
        <v>1</v>
      </c>
      <c r="V317" s="84">
        <f t="shared" si="707"/>
        <v>137.79999999999995</v>
      </c>
      <c r="W317" s="84"/>
      <c r="X317" s="84"/>
      <c r="Y317" s="85">
        <f t="shared" si="708"/>
        <v>2.4</v>
      </c>
      <c r="Z317" s="86"/>
      <c r="AA317" s="82"/>
    </row>
    <row r="318" spans="1:27" s="40" customFormat="1" ht="39.950000000000003" hidden="1" customHeight="1" x14ac:dyDescent="0.25">
      <c r="A318" s="49">
        <v>16</v>
      </c>
      <c r="B318" s="50" t="s">
        <v>43</v>
      </c>
      <c r="C318" s="56" t="str">
        <f t="shared" si="679"/>
        <v>HDKOTE/1714</v>
      </c>
      <c r="D318" s="51" t="s">
        <v>177</v>
      </c>
      <c r="E318" s="55" t="str">
        <f t="shared" ref="E318:F318" si="711">E317</f>
        <v>HDTL60474</v>
      </c>
      <c r="F318" s="50">
        <f t="shared" si="711"/>
        <v>2</v>
      </c>
      <c r="G318" s="49" t="s">
        <v>221</v>
      </c>
      <c r="H318" s="64" t="s">
        <v>222</v>
      </c>
      <c r="I318" s="49">
        <f t="shared" ref="I318:J318" si="712">I317</f>
        <v>3</v>
      </c>
      <c r="J318" s="49" t="str">
        <f t="shared" si="712"/>
        <v>LT 3</v>
      </c>
      <c r="K318" s="84">
        <f>HDTL60474!Q23</f>
        <v>3067</v>
      </c>
      <c r="L318" s="84">
        <f>HDTL60474!P23</f>
        <v>3308.8</v>
      </c>
      <c r="M318" s="84">
        <f t="shared" si="703"/>
        <v>1</v>
      </c>
      <c r="N318" s="84">
        <f t="shared" si="704"/>
        <v>241.80000000000018</v>
      </c>
      <c r="O318" s="84">
        <f>HDTL60474!F23</f>
        <v>2856</v>
      </c>
      <c r="P318" s="84">
        <f>HDTL60474!E23</f>
        <v>2927.2</v>
      </c>
      <c r="Q318" s="84">
        <f t="shared" si="682"/>
        <v>1</v>
      </c>
      <c r="R318" s="84">
        <f t="shared" si="705"/>
        <v>71.199999999999818</v>
      </c>
      <c r="S318" s="84">
        <f>HDTL60474!K23</f>
        <v>1626</v>
      </c>
      <c r="T318" s="84">
        <f>HDTL60474!J23</f>
        <v>1818.3</v>
      </c>
      <c r="U318" s="84">
        <f t="shared" si="706"/>
        <v>1</v>
      </c>
      <c r="V318" s="84">
        <f t="shared" si="707"/>
        <v>192.29999999999995</v>
      </c>
      <c r="W318" s="84"/>
      <c r="X318" s="84"/>
      <c r="Y318" s="85">
        <f t="shared" si="708"/>
        <v>2.6866666666666688</v>
      </c>
      <c r="Z318" s="86"/>
      <c r="AA318" s="82"/>
    </row>
    <row r="319" spans="1:27" s="40" customFormat="1" ht="39.950000000000003" hidden="1" customHeight="1" x14ac:dyDescent="0.25">
      <c r="A319" s="93">
        <v>17</v>
      </c>
      <c r="B319" s="50" t="s">
        <v>43</v>
      </c>
      <c r="C319" s="56" t="str">
        <f t="shared" si="679"/>
        <v>HDKOTE/1714</v>
      </c>
      <c r="D319" s="51" t="s">
        <v>177</v>
      </c>
      <c r="E319" s="55" t="str">
        <f t="shared" ref="E319:F319" si="713">E318</f>
        <v>HDTL60474</v>
      </c>
      <c r="F319" s="50">
        <f t="shared" si="713"/>
        <v>2</v>
      </c>
      <c r="G319" s="49" t="s">
        <v>221</v>
      </c>
      <c r="H319" s="64" t="s">
        <v>222</v>
      </c>
      <c r="I319" s="49">
        <f t="shared" ref="I319:J319" si="714">I318</f>
        <v>3</v>
      </c>
      <c r="J319" s="49" t="str">
        <f t="shared" si="714"/>
        <v>LT 3</v>
      </c>
      <c r="K319" s="84">
        <f>HDTL60474!Q24</f>
        <v>3308.8</v>
      </c>
      <c r="L319" s="84">
        <f>HDTL60474!P24</f>
        <v>3613.4</v>
      </c>
      <c r="M319" s="84">
        <f t="shared" si="703"/>
        <v>1</v>
      </c>
      <c r="N319" s="84">
        <f t="shared" si="704"/>
        <v>304.59999999999991</v>
      </c>
      <c r="O319" s="84">
        <f>HDTL60474!F24</f>
        <v>2927.2</v>
      </c>
      <c r="P319" s="84">
        <f>HDTL60474!E24</f>
        <v>2983.8</v>
      </c>
      <c r="Q319" s="84">
        <f t="shared" si="682"/>
        <v>1</v>
      </c>
      <c r="R319" s="84">
        <f t="shared" si="705"/>
        <v>56.600000000000364</v>
      </c>
      <c r="S319" s="84">
        <f>HDTL60474!K24</f>
        <v>1818.3</v>
      </c>
      <c r="T319" s="84">
        <f>HDTL60474!J24</f>
        <v>2070.9</v>
      </c>
      <c r="U319" s="84">
        <f t="shared" si="706"/>
        <v>1</v>
      </c>
      <c r="V319" s="84">
        <f t="shared" si="707"/>
        <v>252.60000000000014</v>
      </c>
      <c r="W319" s="84"/>
      <c r="X319" s="84"/>
      <c r="Y319" s="85">
        <f t="shared" si="708"/>
        <v>3.3844444444444437</v>
      </c>
      <c r="Z319" s="86"/>
      <c r="AA319" s="82"/>
    </row>
    <row r="320" spans="1:27" s="40" customFormat="1" ht="39.950000000000003" hidden="1" customHeight="1" x14ac:dyDescent="0.25">
      <c r="A320" s="94">
        <v>18</v>
      </c>
      <c r="B320" s="50" t="s">
        <v>43</v>
      </c>
      <c r="C320" s="56" t="str">
        <f t="shared" si="679"/>
        <v>HDKOTE/1714</v>
      </c>
      <c r="D320" s="51" t="s">
        <v>177</v>
      </c>
      <c r="E320" s="55" t="str">
        <f t="shared" ref="E320:F320" si="715">E319</f>
        <v>HDTL60474</v>
      </c>
      <c r="F320" s="50">
        <f t="shared" si="715"/>
        <v>2</v>
      </c>
      <c r="G320" s="49" t="s">
        <v>221</v>
      </c>
      <c r="H320" s="64" t="s">
        <v>222</v>
      </c>
      <c r="I320" s="49">
        <f t="shared" ref="I320:J320" si="716">I319</f>
        <v>3</v>
      </c>
      <c r="J320" s="49" t="str">
        <f t="shared" si="716"/>
        <v>LT 3</v>
      </c>
      <c r="K320" s="84">
        <f>HDTL60474!Q25</f>
        <v>3613.4</v>
      </c>
      <c r="L320" s="84">
        <f>HDTL60474!P25</f>
        <v>3884.8</v>
      </c>
      <c r="M320" s="84">
        <f t="shared" si="703"/>
        <v>1</v>
      </c>
      <c r="N320" s="84">
        <f t="shared" si="704"/>
        <v>271.40000000000009</v>
      </c>
      <c r="O320" s="84">
        <f>HDTL60474!F25</f>
        <v>2983.8</v>
      </c>
      <c r="P320" s="84">
        <f>HDTL60474!E25</f>
        <v>3028.3</v>
      </c>
      <c r="Q320" s="84">
        <f t="shared" si="682"/>
        <v>1</v>
      </c>
      <c r="R320" s="84">
        <f t="shared" si="705"/>
        <v>44.5</v>
      </c>
      <c r="S320" s="84">
        <f>HDTL60474!K25</f>
        <v>2070.9</v>
      </c>
      <c r="T320" s="84">
        <f>HDTL60474!J25</f>
        <v>2306.1999999999998</v>
      </c>
      <c r="U320" s="84">
        <f t="shared" si="706"/>
        <v>1</v>
      </c>
      <c r="V320" s="84">
        <f t="shared" si="707"/>
        <v>235.29999999999973</v>
      </c>
      <c r="W320" s="84"/>
      <c r="X320" s="84"/>
      <c r="Y320" s="85">
        <f t="shared" si="708"/>
        <v>3.0155555555555567</v>
      </c>
      <c r="Z320" s="86"/>
      <c r="AA320" s="82"/>
    </row>
    <row r="321" spans="1:27" s="40" customFormat="1" ht="39.950000000000003" hidden="1" customHeight="1" x14ac:dyDescent="0.25">
      <c r="A321" s="95">
        <v>19</v>
      </c>
      <c r="B321" s="50" t="s">
        <v>43</v>
      </c>
      <c r="C321" s="56" t="str">
        <f t="shared" si="679"/>
        <v>HDKOTE/1714</v>
      </c>
      <c r="D321" s="51" t="s">
        <v>177</v>
      </c>
      <c r="E321" s="55" t="str">
        <f t="shared" ref="E321:F321" si="717">E320</f>
        <v>HDTL60474</v>
      </c>
      <c r="F321" s="50">
        <f t="shared" si="717"/>
        <v>2</v>
      </c>
      <c r="G321" s="49" t="s">
        <v>221</v>
      </c>
      <c r="H321" s="64" t="s">
        <v>222</v>
      </c>
      <c r="I321" s="49">
        <f t="shared" ref="I321:J321" si="718">I320</f>
        <v>3</v>
      </c>
      <c r="J321" s="49" t="str">
        <f t="shared" si="718"/>
        <v>LT 3</v>
      </c>
      <c r="K321" s="84">
        <f>HDTL60474!Q26</f>
        <v>3884.8</v>
      </c>
      <c r="L321" s="84">
        <f>HDTL60474!P26</f>
        <v>4148.2</v>
      </c>
      <c r="M321" s="84">
        <f t="shared" si="703"/>
        <v>1</v>
      </c>
      <c r="N321" s="84">
        <f t="shared" ref="N321" si="719">(L321-K321)*M321</f>
        <v>263.39999999999964</v>
      </c>
      <c r="O321" s="84">
        <f>HDTL60474!F26</f>
        <v>3028.3</v>
      </c>
      <c r="P321" s="84">
        <f>HDTL60474!E26</f>
        <v>3119.7</v>
      </c>
      <c r="Q321" s="84">
        <f t="shared" si="682"/>
        <v>1</v>
      </c>
      <c r="R321" s="84">
        <f t="shared" ref="R321" si="720">(P321-O321)*Q321</f>
        <v>91.399999999999636</v>
      </c>
      <c r="S321" s="84">
        <f>HDTL60474!K26</f>
        <v>2306.1999999999998</v>
      </c>
      <c r="T321" s="84">
        <f>HDTL60474!J26</f>
        <v>2521.4</v>
      </c>
      <c r="U321" s="84">
        <f t="shared" si="706"/>
        <v>1</v>
      </c>
      <c r="V321" s="84">
        <f t="shared" ref="V321" si="721">(T321-S321)*U321</f>
        <v>215.20000000000027</v>
      </c>
      <c r="W321" s="84"/>
      <c r="X321" s="84"/>
      <c r="Y321" s="85">
        <f t="shared" ref="Y321" si="722">N321/30/I321</f>
        <v>2.9266666666666628</v>
      </c>
      <c r="Z321" s="86"/>
      <c r="AA321" s="82"/>
    </row>
    <row r="322" spans="1:27" s="40" customFormat="1" ht="39.950000000000003" hidden="1" customHeight="1" x14ac:dyDescent="0.25">
      <c r="A322" s="49">
        <v>20</v>
      </c>
      <c r="B322" s="50" t="s">
        <v>43</v>
      </c>
      <c r="C322" s="56" t="str">
        <f t="shared" si="679"/>
        <v>HDKOTE/1714</v>
      </c>
      <c r="D322" s="51" t="s">
        <v>177</v>
      </c>
      <c r="E322" s="55" t="str">
        <f t="shared" ref="E322:F326" si="723">E321</f>
        <v>HDTL60474</v>
      </c>
      <c r="F322" s="50">
        <f t="shared" si="723"/>
        <v>2</v>
      </c>
      <c r="G322" s="49" t="s">
        <v>221</v>
      </c>
      <c r="H322" s="64" t="s">
        <v>222</v>
      </c>
      <c r="I322" s="49">
        <f t="shared" ref="I322:J326" si="724">I321</f>
        <v>3</v>
      </c>
      <c r="J322" s="49" t="str">
        <f t="shared" si="724"/>
        <v>LT 3</v>
      </c>
      <c r="K322" s="84">
        <f>HDTL60474!Q27</f>
        <v>4148.2</v>
      </c>
      <c r="L322" s="84">
        <f>HDTL60474!P27</f>
        <v>4260.8</v>
      </c>
      <c r="M322" s="84">
        <f t="shared" si="703"/>
        <v>1</v>
      </c>
      <c r="N322" s="84">
        <f t="shared" ref="N322" si="725">(L322-K322)*M322</f>
        <v>112.60000000000036</v>
      </c>
      <c r="O322" s="84">
        <f>HDTL60474!F27</f>
        <v>3119.7</v>
      </c>
      <c r="P322" s="84">
        <f>HDTL60474!E27</f>
        <v>3365.4</v>
      </c>
      <c r="Q322" s="84">
        <f t="shared" si="682"/>
        <v>1</v>
      </c>
      <c r="R322" s="84">
        <f t="shared" ref="R322" si="726">(P322-O322)*Q322</f>
        <v>245.70000000000027</v>
      </c>
      <c r="S322" s="84">
        <f>HDTL60474!K27</f>
        <v>2521.4</v>
      </c>
      <c r="T322" s="84">
        <f>HDTL60474!J27</f>
        <v>2600.1999999999998</v>
      </c>
      <c r="U322" s="84">
        <f t="shared" si="706"/>
        <v>1</v>
      </c>
      <c r="V322" s="84">
        <f t="shared" ref="V322" si="727">(T322-S322)*U322</f>
        <v>78.799999999999727</v>
      </c>
      <c r="W322" s="84"/>
      <c r="X322" s="84"/>
      <c r="Y322" s="85">
        <f t="shared" ref="Y322" si="728">N322/30/I322</f>
        <v>1.2511111111111151</v>
      </c>
      <c r="Z322" s="86"/>
      <c r="AA322" s="82"/>
    </row>
    <row r="323" spans="1:27" s="40" customFormat="1" ht="39.950000000000003" hidden="1" customHeight="1" x14ac:dyDescent="0.25">
      <c r="A323" s="49">
        <v>21</v>
      </c>
      <c r="B323" s="50" t="s">
        <v>43</v>
      </c>
      <c r="C323" s="56" t="str">
        <f t="shared" si="679"/>
        <v>HDKOTE/1714</v>
      </c>
      <c r="D323" s="51" t="s">
        <v>177</v>
      </c>
      <c r="E323" s="55" t="str">
        <f t="shared" si="723"/>
        <v>HDTL60474</v>
      </c>
      <c r="F323" s="50">
        <f t="shared" si="723"/>
        <v>2</v>
      </c>
      <c r="G323" s="49" t="s">
        <v>221</v>
      </c>
      <c r="H323" s="64" t="s">
        <v>222</v>
      </c>
      <c r="I323" s="49">
        <f t="shared" si="724"/>
        <v>3</v>
      </c>
      <c r="J323" s="49" t="str">
        <f t="shared" si="724"/>
        <v>LT 3</v>
      </c>
      <c r="K323" s="84">
        <f>HDTL60474!Q28</f>
        <v>4260.8</v>
      </c>
      <c r="L323" s="84">
        <f>HDTL60474!P28</f>
        <v>4418.8</v>
      </c>
      <c r="M323" s="84">
        <f t="shared" si="703"/>
        <v>1</v>
      </c>
      <c r="N323" s="84">
        <f t="shared" ref="N323:N325" si="729">(L323-K323)*M323</f>
        <v>158</v>
      </c>
      <c r="O323" s="84">
        <f>HDTL60474!F28</f>
        <v>3365.4</v>
      </c>
      <c r="P323" s="84">
        <f>HDTL60474!E28</f>
        <v>3640.4</v>
      </c>
      <c r="Q323" s="84">
        <f t="shared" si="682"/>
        <v>1</v>
      </c>
      <c r="R323" s="84">
        <f t="shared" ref="R323:R325" si="730">(P323-O323)*Q323</f>
        <v>275</v>
      </c>
      <c r="S323" s="84">
        <f>HDTL60474!K28</f>
        <v>2600.1999999999998</v>
      </c>
      <c r="T323" s="84">
        <f>HDTL60474!J28</f>
        <v>2700.2</v>
      </c>
      <c r="U323" s="84">
        <f t="shared" si="706"/>
        <v>1</v>
      </c>
      <c r="V323" s="84">
        <f t="shared" ref="V323:V325" si="731">(T323-S323)*U323</f>
        <v>100</v>
      </c>
      <c r="W323" s="84"/>
      <c r="X323" s="84"/>
      <c r="Y323" s="85">
        <f t="shared" ref="Y323:Y325" si="732">N323/30/I323</f>
        <v>1.7555555555555555</v>
      </c>
      <c r="Z323" s="86"/>
      <c r="AA323" s="82"/>
    </row>
    <row r="324" spans="1:27" s="40" customFormat="1" ht="39.950000000000003" hidden="1" customHeight="1" x14ac:dyDescent="0.25">
      <c r="A324" s="49">
        <v>22</v>
      </c>
      <c r="B324" s="50" t="s">
        <v>43</v>
      </c>
      <c r="C324" s="56" t="str">
        <f t="shared" si="679"/>
        <v>HDKOTE/1714</v>
      </c>
      <c r="D324" s="51" t="s">
        <v>177</v>
      </c>
      <c r="E324" s="55" t="str">
        <f t="shared" si="723"/>
        <v>HDTL60474</v>
      </c>
      <c r="F324" s="50">
        <f t="shared" si="723"/>
        <v>2</v>
      </c>
      <c r="G324" s="49" t="s">
        <v>221</v>
      </c>
      <c r="H324" s="64" t="s">
        <v>222</v>
      </c>
      <c r="I324" s="49">
        <f t="shared" si="724"/>
        <v>3</v>
      </c>
      <c r="J324" s="49" t="str">
        <f t="shared" si="724"/>
        <v>LT 3</v>
      </c>
      <c r="K324" s="84">
        <f>HDTL60474!Q29</f>
        <v>4418.8</v>
      </c>
      <c r="L324" s="84">
        <f>HDTL60474!P29</f>
        <v>4555.1000000000004</v>
      </c>
      <c r="M324" s="84">
        <f t="shared" si="703"/>
        <v>1</v>
      </c>
      <c r="N324" s="84">
        <f t="shared" si="729"/>
        <v>136.30000000000018</v>
      </c>
      <c r="O324" s="84">
        <f>HDTL60474!F29</f>
        <v>3640.4</v>
      </c>
      <c r="P324" s="84">
        <f>HDTL60474!E29</f>
        <v>3904.2</v>
      </c>
      <c r="Q324" s="84">
        <f t="shared" si="682"/>
        <v>1</v>
      </c>
      <c r="R324" s="84">
        <f t="shared" si="730"/>
        <v>263.79999999999973</v>
      </c>
      <c r="S324" s="84">
        <f>HDTL60474!K29</f>
        <v>2700.2</v>
      </c>
      <c r="T324" s="84">
        <f>HDTL60474!J29</f>
        <v>2774.8</v>
      </c>
      <c r="U324" s="84">
        <f t="shared" si="706"/>
        <v>1</v>
      </c>
      <c r="V324" s="84">
        <f t="shared" si="731"/>
        <v>74.600000000000364</v>
      </c>
      <c r="W324" s="84"/>
      <c r="X324" s="84"/>
      <c r="Y324" s="85">
        <f t="shared" si="732"/>
        <v>1.5144444444444465</v>
      </c>
      <c r="Z324" s="86"/>
      <c r="AA324" s="82"/>
    </row>
    <row r="325" spans="1:27" s="40" customFormat="1" ht="39.950000000000003" hidden="1" customHeight="1" x14ac:dyDescent="0.25">
      <c r="A325" s="49">
        <v>23</v>
      </c>
      <c r="B325" s="50" t="s">
        <v>43</v>
      </c>
      <c r="C325" s="56" t="str">
        <f t="shared" si="679"/>
        <v>HDKOTE/1714</v>
      </c>
      <c r="D325" s="51" t="s">
        <v>177</v>
      </c>
      <c r="E325" s="55" t="str">
        <f t="shared" si="723"/>
        <v>HDTL60474</v>
      </c>
      <c r="F325" s="50">
        <f t="shared" si="723"/>
        <v>2</v>
      </c>
      <c r="G325" s="49" t="s">
        <v>221</v>
      </c>
      <c r="H325" s="64" t="s">
        <v>222</v>
      </c>
      <c r="I325" s="49">
        <f t="shared" si="724"/>
        <v>3</v>
      </c>
      <c r="J325" s="49" t="str">
        <f t="shared" si="724"/>
        <v>LT 3</v>
      </c>
      <c r="K325" s="84">
        <f>HDTL60474!Q31</f>
        <v>4555.1000000000004</v>
      </c>
      <c r="L325" s="84">
        <f>HDTL60474!P31</f>
        <v>4832.1000000000004</v>
      </c>
      <c r="M325" s="84">
        <f t="shared" si="703"/>
        <v>1</v>
      </c>
      <c r="N325" s="84">
        <f t="shared" si="729"/>
        <v>277</v>
      </c>
      <c r="O325" s="84">
        <f>HDTL60474!F31</f>
        <v>3904.2</v>
      </c>
      <c r="P325" s="84">
        <f>HDTL60474!E31</f>
        <v>3970.2</v>
      </c>
      <c r="Q325" s="84">
        <f t="shared" si="682"/>
        <v>1</v>
      </c>
      <c r="R325" s="84">
        <f t="shared" si="730"/>
        <v>66</v>
      </c>
      <c r="S325" s="84">
        <f>HDTL60474!K31</f>
        <v>2774.8</v>
      </c>
      <c r="T325" s="84">
        <f>HDTL60474!J31</f>
        <v>3020.8</v>
      </c>
      <c r="U325" s="84">
        <f t="shared" si="706"/>
        <v>1</v>
      </c>
      <c r="V325" s="84">
        <f t="shared" si="731"/>
        <v>246</v>
      </c>
      <c r="W325" s="84"/>
      <c r="X325" s="84"/>
      <c r="Y325" s="85">
        <f t="shared" si="732"/>
        <v>3.0777777777777775</v>
      </c>
      <c r="Z325" s="86"/>
      <c r="AA325" s="82"/>
    </row>
    <row r="326" spans="1:27" s="40" customFormat="1" ht="39.950000000000003" hidden="1" customHeight="1" x14ac:dyDescent="0.25">
      <c r="A326" s="49">
        <v>24</v>
      </c>
      <c r="B326" s="50" t="s">
        <v>43</v>
      </c>
      <c r="C326" s="56" t="str">
        <f t="shared" si="679"/>
        <v>HDKOTE/1714</v>
      </c>
      <c r="D326" s="51" t="s">
        <v>177</v>
      </c>
      <c r="E326" s="55" t="str">
        <f t="shared" si="723"/>
        <v>HDTL60474</v>
      </c>
      <c r="F326" s="50">
        <f t="shared" si="723"/>
        <v>2</v>
      </c>
      <c r="G326" s="49" t="s">
        <v>221</v>
      </c>
      <c r="H326" s="64" t="s">
        <v>222</v>
      </c>
      <c r="I326" s="49">
        <f t="shared" si="724"/>
        <v>3</v>
      </c>
      <c r="J326" s="49" t="str">
        <f t="shared" si="724"/>
        <v>LT 3</v>
      </c>
      <c r="K326" s="84">
        <f>HDTL60474!Q32</f>
        <v>4832.1000000000004</v>
      </c>
      <c r="L326" s="84">
        <f>HDTL60474!P32</f>
        <v>5110.1000000000004</v>
      </c>
      <c r="M326" s="84">
        <f t="shared" si="703"/>
        <v>1</v>
      </c>
      <c r="N326" s="84">
        <f t="shared" ref="N326:N329" si="733">(L326-K326)*M326</f>
        <v>278</v>
      </c>
      <c r="O326" s="84">
        <f>HDTL60474!F32</f>
        <v>3970.2</v>
      </c>
      <c r="P326" s="84">
        <f>HDTL60474!E32</f>
        <v>4037.2</v>
      </c>
      <c r="Q326" s="84">
        <f t="shared" si="682"/>
        <v>1</v>
      </c>
      <c r="R326" s="84">
        <f t="shared" ref="R326:R329" si="734">(P326-O326)*Q326</f>
        <v>67</v>
      </c>
      <c r="S326" s="84">
        <f>HDTL60474!K32</f>
        <v>3020.8</v>
      </c>
      <c r="T326" s="84">
        <f>HDTL60474!J32</f>
        <v>3265.8</v>
      </c>
      <c r="U326" s="84">
        <f t="shared" si="706"/>
        <v>1</v>
      </c>
      <c r="V326" s="84">
        <f t="shared" ref="V326:V329" si="735">(T326-S326)*U326</f>
        <v>245</v>
      </c>
      <c r="W326" s="84"/>
      <c r="X326" s="84"/>
      <c r="Y326" s="85">
        <f t="shared" ref="Y326:Y329" si="736">N326/30/I326</f>
        <v>3.088888888888889</v>
      </c>
      <c r="Z326" s="86"/>
      <c r="AA326" s="82"/>
    </row>
    <row r="327" spans="1:27" s="40" customFormat="1" ht="39.950000000000003" hidden="1" customHeight="1" x14ac:dyDescent="0.25">
      <c r="A327" s="49">
        <v>25</v>
      </c>
      <c r="B327" s="50" t="s">
        <v>43</v>
      </c>
      <c r="C327" s="56" t="str">
        <f t="shared" si="679"/>
        <v>HDKOTE/1714</v>
      </c>
      <c r="D327" s="51" t="s">
        <v>177</v>
      </c>
      <c r="E327" s="55" t="str">
        <f t="shared" ref="E327:F327" si="737">E326</f>
        <v>HDTL60474</v>
      </c>
      <c r="F327" s="50">
        <f t="shared" si="737"/>
        <v>2</v>
      </c>
      <c r="G327" s="49" t="s">
        <v>221</v>
      </c>
      <c r="H327" s="64" t="s">
        <v>222</v>
      </c>
      <c r="I327" s="49">
        <f t="shared" ref="I327:J327" si="738">I326</f>
        <v>3</v>
      </c>
      <c r="J327" s="49" t="str">
        <f t="shared" si="738"/>
        <v>LT 3</v>
      </c>
      <c r="K327" s="84">
        <f>HDTL60474!Q33</f>
        <v>5110.1000000000004</v>
      </c>
      <c r="L327" s="84">
        <f>HDTL60474!P33</f>
        <v>5389.3</v>
      </c>
      <c r="M327" s="84">
        <f t="shared" si="703"/>
        <v>1</v>
      </c>
      <c r="N327" s="84">
        <f t="shared" si="733"/>
        <v>279.19999999999982</v>
      </c>
      <c r="O327" s="84">
        <f>HDTL60474!F33</f>
        <v>4037.2</v>
      </c>
      <c r="P327" s="84">
        <f>HDTL60474!E33</f>
        <v>4105.3</v>
      </c>
      <c r="Q327" s="84">
        <f t="shared" si="682"/>
        <v>1</v>
      </c>
      <c r="R327" s="84">
        <f t="shared" si="734"/>
        <v>68.100000000000364</v>
      </c>
      <c r="S327" s="84">
        <f>HDTL60474!K33</f>
        <v>3265.8</v>
      </c>
      <c r="T327" s="84">
        <f>HDTL60474!J33</f>
        <v>3517.7</v>
      </c>
      <c r="U327" s="84">
        <f t="shared" si="706"/>
        <v>1</v>
      </c>
      <c r="V327" s="84">
        <f t="shared" si="735"/>
        <v>251.89999999999964</v>
      </c>
      <c r="W327" s="84"/>
      <c r="X327" s="84"/>
      <c r="Y327" s="85">
        <f t="shared" si="736"/>
        <v>3.1022222222222204</v>
      </c>
      <c r="Z327" s="86"/>
      <c r="AA327" s="82"/>
    </row>
    <row r="328" spans="1:27" s="40" customFormat="1" ht="39.950000000000003" hidden="1" customHeight="1" x14ac:dyDescent="0.25">
      <c r="A328" s="49">
        <v>26</v>
      </c>
      <c r="B328" s="50" t="s">
        <v>43</v>
      </c>
      <c r="C328" s="56" t="str">
        <f t="shared" si="679"/>
        <v>HDKOTE/1714</v>
      </c>
      <c r="D328" s="51" t="s">
        <v>177</v>
      </c>
      <c r="E328" s="55" t="str">
        <f t="shared" ref="E328:F328" si="739">E327</f>
        <v>HDTL60474</v>
      </c>
      <c r="F328" s="50">
        <f t="shared" si="739"/>
        <v>2</v>
      </c>
      <c r="G328" s="49" t="s">
        <v>221</v>
      </c>
      <c r="H328" s="64" t="s">
        <v>222</v>
      </c>
      <c r="I328" s="49">
        <f t="shared" ref="I328:J328" si="740">I327</f>
        <v>3</v>
      </c>
      <c r="J328" s="49" t="str">
        <f t="shared" si="740"/>
        <v>LT 3</v>
      </c>
      <c r="K328" s="84">
        <f>HDTL60474!Q34</f>
        <v>5389.3</v>
      </c>
      <c r="L328" s="84">
        <f>HDTL60474!P34</f>
        <v>5619.1</v>
      </c>
      <c r="M328" s="84">
        <f t="shared" si="703"/>
        <v>1</v>
      </c>
      <c r="N328" s="84">
        <f t="shared" si="733"/>
        <v>229.80000000000018</v>
      </c>
      <c r="O328" s="84">
        <f>HDTL60474!F34</f>
        <v>4105.3</v>
      </c>
      <c r="P328" s="84">
        <f>HDTL60474!E34</f>
        <v>4149.5</v>
      </c>
      <c r="Q328" s="84">
        <f t="shared" si="682"/>
        <v>1</v>
      </c>
      <c r="R328" s="84">
        <f t="shared" si="734"/>
        <v>44.199999999999818</v>
      </c>
      <c r="S328" s="84">
        <f>HDTL60474!K34</f>
        <v>3517.7</v>
      </c>
      <c r="T328" s="84">
        <f>HDTL60474!J34</f>
        <v>3710.9</v>
      </c>
      <c r="U328" s="84">
        <f t="shared" si="706"/>
        <v>1</v>
      </c>
      <c r="V328" s="84">
        <f t="shared" si="735"/>
        <v>193.20000000000027</v>
      </c>
      <c r="W328" s="84"/>
      <c r="X328" s="84"/>
      <c r="Y328" s="85">
        <f t="shared" si="736"/>
        <v>2.5533333333333355</v>
      </c>
      <c r="Z328" s="86"/>
      <c r="AA328" s="82"/>
    </row>
    <row r="329" spans="1:27" s="40" customFormat="1" ht="39.950000000000003" hidden="1" customHeight="1" x14ac:dyDescent="0.25">
      <c r="A329" s="49">
        <v>27</v>
      </c>
      <c r="B329" s="50" t="s">
        <v>43</v>
      </c>
      <c r="C329" s="56" t="str">
        <f t="shared" si="679"/>
        <v>HDKOTE/1714</v>
      </c>
      <c r="D329" s="51" t="s">
        <v>177</v>
      </c>
      <c r="E329" s="55" t="str">
        <f t="shared" ref="E329:F329" si="741">E328</f>
        <v>HDTL60474</v>
      </c>
      <c r="F329" s="50">
        <f t="shared" si="741"/>
        <v>2</v>
      </c>
      <c r="G329" s="49" t="s">
        <v>221</v>
      </c>
      <c r="H329" s="64" t="s">
        <v>222</v>
      </c>
      <c r="I329" s="49">
        <f t="shared" ref="I329:J329" si="742">I328</f>
        <v>3</v>
      </c>
      <c r="J329" s="49" t="str">
        <f t="shared" si="742"/>
        <v>LT 3</v>
      </c>
      <c r="K329" s="84">
        <f>HDTL60474!Q35</f>
        <v>5619.1</v>
      </c>
      <c r="L329" s="84">
        <f>HDTL60474!P35</f>
        <v>5753.2</v>
      </c>
      <c r="M329" s="84">
        <f t="shared" si="703"/>
        <v>1</v>
      </c>
      <c r="N329" s="84">
        <f t="shared" si="733"/>
        <v>134.09999999999945</v>
      </c>
      <c r="O329" s="84">
        <f>HDTL60474!F35</f>
        <v>4149.5</v>
      </c>
      <c r="P329" s="84">
        <f>HDTL60474!E35</f>
        <v>4293.5</v>
      </c>
      <c r="Q329" s="84">
        <f t="shared" si="682"/>
        <v>1</v>
      </c>
      <c r="R329" s="84">
        <f t="shared" si="734"/>
        <v>144</v>
      </c>
      <c r="S329" s="84">
        <f>HDTL60474!K35</f>
        <v>3710.9</v>
      </c>
      <c r="T329" s="84">
        <f>HDTL60474!J35</f>
        <v>3797.9</v>
      </c>
      <c r="U329" s="84">
        <f t="shared" si="706"/>
        <v>1</v>
      </c>
      <c r="V329" s="84">
        <f t="shared" si="735"/>
        <v>87</v>
      </c>
      <c r="W329" s="84"/>
      <c r="X329" s="84"/>
      <c r="Y329" s="85">
        <f t="shared" si="736"/>
        <v>1.489999999999994</v>
      </c>
      <c r="Z329" s="86"/>
      <c r="AA329" s="82"/>
    </row>
    <row r="330" spans="1:27" s="40" customFormat="1" ht="39.950000000000003" hidden="1" customHeight="1" x14ac:dyDescent="0.25">
      <c r="A330" s="49">
        <v>28</v>
      </c>
      <c r="B330" s="50" t="s">
        <v>43</v>
      </c>
      <c r="C330" s="56" t="str">
        <f t="shared" si="679"/>
        <v>HDKOTE/1714</v>
      </c>
      <c r="D330" s="51" t="s">
        <v>177</v>
      </c>
      <c r="E330" s="55" t="str">
        <f t="shared" ref="E330:F332" si="743">E329</f>
        <v>HDTL60474</v>
      </c>
      <c r="F330" s="50">
        <f t="shared" si="743"/>
        <v>2</v>
      </c>
      <c r="G330" s="49" t="s">
        <v>221</v>
      </c>
      <c r="H330" s="64" t="s">
        <v>222</v>
      </c>
      <c r="I330" s="49">
        <f t="shared" ref="I330:J332" si="744">I329</f>
        <v>3</v>
      </c>
      <c r="J330" s="49" t="str">
        <f t="shared" si="744"/>
        <v>LT 3</v>
      </c>
      <c r="K330" s="84">
        <f>HDTL60474!Q36</f>
        <v>5753.2</v>
      </c>
      <c r="L330" s="84">
        <f>HDTL60474!P36</f>
        <v>5979.4</v>
      </c>
      <c r="M330" s="84">
        <f t="shared" si="703"/>
        <v>1</v>
      </c>
      <c r="N330" s="84">
        <f t="shared" ref="N330:N333" si="745">(L330-K330)*M330</f>
        <v>226.19999999999982</v>
      </c>
      <c r="O330" s="84">
        <f>HDTL60474!F36</f>
        <v>4293.5</v>
      </c>
      <c r="P330" s="84">
        <f>HDTL60474!E36</f>
        <v>4622.3999999999996</v>
      </c>
      <c r="Q330" s="84">
        <f t="shared" si="682"/>
        <v>1</v>
      </c>
      <c r="R330" s="84">
        <f t="shared" ref="R330:R333" si="746">(P330-O330)*Q330</f>
        <v>328.89999999999964</v>
      </c>
      <c r="S330" s="84">
        <f>HDTL60474!K36</f>
        <v>3797.9</v>
      </c>
      <c r="T330" s="84">
        <f>HDTL60474!J36</f>
        <v>3946</v>
      </c>
      <c r="U330" s="84">
        <f t="shared" si="706"/>
        <v>1</v>
      </c>
      <c r="V330" s="84">
        <f t="shared" ref="V330:V333" si="747">(T330-S330)*U330</f>
        <v>148.09999999999991</v>
      </c>
      <c r="W330" s="84">
        <f>HDTL60474!U36</f>
        <v>3.07</v>
      </c>
      <c r="X330" s="84">
        <f>HDTL60474!V36</f>
        <v>0.91</v>
      </c>
      <c r="Y330" s="85">
        <f t="shared" ref="Y330:Y333" si="748">N330/30/I330</f>
        <v>2.5133333333333314</v>
      </c>
      <c r="Z330" s="86"/>
      <c r="AA330" s="82"/>
    </row>
    <row r="331" spans="1:27" s="40" customFormat="1" ht="39.950000000000003" hidden="1" customHeight="1" x14ac:dyDescent="0.25">
      <c r="A331" s="49">
        <v>29</v>
      </c>
      <c r="B331" s="50" t="s">
        <v>43</v>
      </c>
      <c r="C331" s="56" t="str">
        <f t="shared" si="679"/>
        <v>HDKOTE/1714</v>
      </c>
      <c r="D331" s="51" t="s">
        <v>177</v>
      </c>
      <c r="E331" s="55" t="str">
        <f t="shared" ref="E331:F331" si="749">E330</f>
        <v>HDTL60474</v>
      </c>
      <c r="F331" s="50">
        <f t="shared" si="749"/>
        <v>2</v>
      </c>
      <c r="G331" s="49" t="s">
        <v>221</v>
      </c>
      <c r="H331" s="64" t="s">
        <v>222</v>
      </c>
      <c r="I331" s="49">
        <f t="shared" ref="I331:J331" si="750">I330</f>
        <v>3</v>
      </c>
      <c r="J331" s="49" t="str">
        <f t="shared" si="750"/>
        <v>LT 3</v>
      </c>
      <c r="K331" s="84">
        <f>HDTL60474!Q37</f>
        <v>5979.4</v>
      </c>
      <c r="L331" s="84">
        <f>HDTL60474!P37</f>
        <v>6148</v>
      </c>
      <c r="M331" s="84">
        <f t="shared" si="703"/>
        <v>1</v>
      </c>
      <c r="N331" s="84">
        <f t="shared" si="745"/>
        <v>168.60000000000036</v>
      </c>
      <c r="O331" s="84">
        <f>HDTL60474!F37</f>
        <v>4622.3999999999996</v>
      </c>
      <c r="P331" s="84">
        <f>HDTL60474!E37</f>
        <v>4914.8999999999996</v>
      </c>
      <c r="Q331" s="84">
        <f t="shared" si="682"/>
        <v>1</v>
      </c>
      <c r="R331" s="84">
        <f t="shared" si="746"/>
        <v>292.5</v>
      </c>
      <c r="S331" s="84">
        <f>HDTL60474!K37</f>
        <v>3946</v>
      </c>
      <c r="T331" s="84">
        <f>HDTL60474!J37</f>
        <v>4066.6</v>
      </c>
      <c r="U331" s="84">
        <f t="shared" si="706"/>
        <v>1</v>
      </c>
      <c r="V331" s="84">
        <f t="shared" si="747"/>
        <v>120.59999999999991</v>
      </c>
      <c r="W331" s="84">
        <f>HDTL60474!U37</f>
        <v>3.13</v>
      </c>
      <c r="X331" s="84">
        <f>HDTL60474!V37</f>
        <v>0.93</v>
      </c>
      <c r="Y331" s="85">
        <f t="shared" si="748"/>
        <v>1.8733333333333375</v>
      </c>
      <c r="Z331" s="86"/>
      <c r="AA331" s="82"/>
    </row>
    <row r="332" spans="1:27" s="40" customFormat="1" ht="39.950000000000003" customHeight="1" x14ac:dyDescent="0.25">
      <c r="A332" s="49">
        <v>30</v>
      </c>
      <c r="B332" s="50" t="s">
        <v>43</v>
      </c>
      <c r="C332" s="56" t="str">
        <f t="shared" si="679"/>
        <v>HDKOTE/1714</v>
      </c>
      <c r="D332" s="51" t="s">
        <v>177</v>
      </c>
      <c r="E332" s="55" t="str">
        <f t="shared" si="743"/>
        <v>HDTL60474</v>
      </c>
      <c r="F332" s="50">
        <f t="shared" si="743"/>
        <v>2</v>
      </c>
      <c r="G332" s="49" t="s">
        <v>221</v>
      </c>
      <c r="H332" s="64" t="s">
        <v>222</v>
      </c>
      <c r="I332" s="49">
        <f t="shared" si="744"/>
        <v>3</v>
      </c>
      <c r="J332" s="49" t="str">
        <f t="shared" si="744"/>
        <v>LT 3</v>
      </c>
      <c r="K332" s="84">
        <f>HDTL60474!Q38</f>
        <v>6148</v>
      </c>
      <c r="L332" s="84">
        <f>HDTL60474!P38</f>
        <v>6148</v>
      </c>
      <c r="M332" s="84">
        <f t="shared" si="703"/>
        <v>1</v>
      </c>
      <c r="N332" s="84">
        <f t="shared" ref="N332" si="751">(L332-K332)*M332</f>
        <v>0</v>
      </c>
      <c r="O332" s="84">
        <f>HDTL60474!F38</f>
        <v>4914.8999999999996</v>
      </c>
      <c r="P332" s="84">
        <f>HDTL60474!E38</f>
        <v>5073.7</v>
      </c>
      <c r="Q332" s="84">
        <f t="shared" si="682"/>
        <v>1</v>
      </c>
      <c r="R332" s="84">
        <f t="shared" ref="R332" si="752">(P332-O332)*Q332</f>
        <v>158.80000000000018</v>
      </c>
      <c r="S332" s="84">
        <f>HDTL60474!K38</f>
        <v>4066.6</v>
      </c>
      <c r="T332" s="84">
        <f>HDTL60474!J38</f>
        <v>4066.6</v>
      </c>
      <c r="U332" s="84">
        <f t="shared" si="706"/>
        <v>1</v>
      </c>
      <c r="V332" s="84">
        <f t="shared" ref="V332" si="753">(T332-S332)*U332</f>
        <v>0</v>
      </c>
      <c r="W332" s="84">
        <f>HDTL60474!U38</f>
        <v>2.38</v>
      </c>
      <c r="X332" s="84">
        <f>HDTL60474!V38</f>
        <v>0.9</v>
      </c>
      <c r="Y332" s="85">
        <f t="shared" si="748"/>
        <v>0</v>
      </c>
      <c r="Z332" s="86"/>
      <c r="AA332" s="82"/>
    </row>
    <row r="333" spans="1:27" s="40" customFormat="1" ht="39.950000000000003" hidden="1" customHeight="1" x14ac:dyDescent="0.25">
      <c r="A333" s="49">
        <v>31</v>
      </c>
      <c r="B333" s="50" t="s">
        <v>43</v>
      </c>
      <c r="C333" s="56" t="str">
        <f t="shared" si="679"/>
        <v>HDKOTE/1714</v>
      </c>
      <c r="D333" s="51" t="s">
        <v>177</v>
      </c>
      <c r="E333" s="55" t="str">
        <f t="shared" ref="E333:F333" si="754">E332</f>
        <v>HDTL60474</v>
      </c>
      <c r="F333" s="50">
        <f t="shared" si="754"/>
        <v>2</v>
      </c>
      <c r="G333" s="49" t="s">
        <v>221</v>
      </c>
      <c r="H333" s="64" t="s">
        <v>222</v>
      </c>
      <c r="I333" s="49">
        <f t="shared" ref="I333:J333" si="755">I332</f>
        <v>3</v>
      </c>
      <c r="J333" s="49" t="str">
        <f t="shared" si="755"/>
        <v>LT 3</v>
      </c>
      <c r="K333" s="84">
        <f>HDTL60474!Q39</f>
        <v>6148</v>
      </c>
      <c r="L333" s="84">
        <f>HDTL60474!P39</f>
        <v>6148</v>
      </c>
      <c r="M333" s="84">
        <f t="shared" si="703"/>
        <v>1</v>
      </c>
      <c r="N333" s="84">
        <f t="shared" si="745"/>
        <v>0</v>
      </c>
      <c r="O333" s="84">
        <f>HDTL60474!F39</f>
        <v>5073.7</v>
      </c>
      <c r="P333" s="84">
        <f>HDTL60474!E39</f>
        <v>5268.2</v>
      </c>
      <c r="Q333" s="84">
        <f t="shared" si="682"/>
        <v>1</v>
      </c>
      <c r="R333" s="84">
        <f t="shared" si="746"/>
        <v>194.5</v>
      </c>
      <c r="S333" s="84">
        <f>HDTL60474!K39</f>
        <v>4066.6</v>
      </c>
      <c r="T333" s="84">
        <f>HDTL60474!J39</f>
        <v>4066.6</v>
      </c>
      <c r="U333" s="84">
        <f t="shared" si="706"/>
        <v>1</v>
      </c>
      <c r="V333" s="84">
        <f t="shared" si="747"/>
        <v>0</v>
      </c>
      <c r="W333" s="84"/>
      <c r="X333" s="84"/>
      <c r="Y333" s="85">
        <f t="shared" si="748"/>
        <v>0</v>
      </c>
      <c r="Z333" s="86"/>
      <c r="AA333" s="82"/>
    </row>
    <row r="334" spans="1:27" s="40" customFormat="1" ht="39.950000000000003" hidden="1" customHeight="1" x14ac:dyDescent="0.25">
      <c r="A334" s="49"/>
      <c r="B334" s="50"/>
      <c r="C334" s="56"/>
      <c r="D334" s="51"/>
      <c r="E334" s="55"/>
      <c r="F334" s="50"/>
      <c r="G334" s="49"/>
      <c r="H334" s="64"/>
      <c r="I334" s="49"/>
      <c r="J334" s="49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5"/>
      <c r="Z334" s="86"/>
      <c r="AA334" s="82"/>
    </row>
    <row r="335" spans="1:27" s="40" customFormat="1" ht="39.950000000000003" hidden="1" customHeight="1" x14ac:dyDescent="0.25">
      <c r="A335" s="49"/>
      <c r="B335" s="50"/>
      <c r="C335" s="56"/>
      <c r="D335" s="51"/>
      <c r="E335" s="55"/>
      <c r="F335" s="50"/>
      <c r="G335" s="49"/>
      <c r="H335" s="64"/>
      <c r="I335" s="49"/>
      <c r="J335" s="49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5"/>
      <c r="Z335" s="86"/>
      <c r="AA335" s="82"/>
    </row>
    <row r="336" spans="1:27" s="40" customFormat="1" ht="39.950000000000003" hidden="1" customHeight="1" x14ac:dyDescent="0.25">
      <c r="A336" s="49">
        <v>1</v>
      </c>
      <c r="B336" s="50" t="s">
        <v>43</v>
      </c>
      <c r="C336" s="56" t="s">
        <v>229</v>
      </c>
      <c r="D336" s="51" t="s">
        <v>176</v>
      </c>
      <c r="E336" s="55" t="s">
        <v>173</v>
      </c>
      <c r="F336" s="50">
        <v>2.82</v>
      </c>
      <c r="G336" s="49" t="s">
        <v>221</v>
      </c>
      <c r="H336" s="64" t="s">
        <v>222</v>
      </c>
      <c r="I336" s="49">
        <v>3</v>
      </c>
      <c r="J336" s="49" t="s">
        <v>224</v>
      </c>
      <c r="K336" s="84">
        <f>'HKL2180'!Q8</f>
        <v>2599.6999999999998</v>
      </c>
      <c r="L336" s="84">
        <f>'HKL2180'!P8</f>
        <v>2850.5</v>
      </c>
      <c r="M336" s="84">
        <f>'[1]April-18'!M16</f>
        <v>1</v>
      </c>
      <c r="N336" s="84">
        <f t="shared" si="0"/>
        <v>250.80000000000018</v>
      </c>
      <c r="O336" s="84">
        <f>'HKL2180'!F8</f>
        <v>156.5</v>
      </c>
      <c r="P336" s="84">
        <f>'HKL2180'!E8</f>
        <v>314.39999999999998</v>
      </c>
      <c r="Q336" s="84">
        <v>1</v>
      </c>
      <c r="R336" s="84">
        <f t="shared" si="683"/>
        <v>157.89999999999998</v>
      </c>
      <c r="S336" s="84">
        <f>'HKL2180'!K8</f>
        <v>126.1</v>
      </c>
      <c r="T336" s="84">
        <f>'HKL2180'!J8</f>
        <v>241.2</v>
      </c>
      <c r="U336" s="84">
        <f>'[1]April-18'!U16</f>
        <v>1</v>
      </c>
      <c r="V336" s="84">
        <f t="shared" si="684"/>
        <v>115.1</v>
      </c>
      <c r="W336" s="84"/>
      <c r="X336" s="84"/>
      <c r="Y336" s="85">
        <f t="shared" si="87"/>
        <v>2.7866666666666688</v>
      </c>
      <c r="Z336" s="84"/>
      <c r="AA336" s="82" t="str">
        <f>'HKL2180'!B8</f>
        <v>01.08.2019</v>
      </c>
    </row>
    <row r="337" spans="1:27" s="40" customFormat="1" ht="39.950000000000003" hidden="1" customHeight="1" x14ac:dyDescent="0.25">
      <c r="A337" s="49">
        <v>2</v>
      </c>
      <c r="B337" s="50" t="str">
        <f>B336</f>
        <v>H D Kote</v>
      </c>
      <c r="C337" s="50" t="str">
        <f t="shared" ref="C337:J338" si="756">C336</f>
        <v>HDKOTE/1714</v>
      </c>
      <c r="D337" s="50" t="str">
        <f t="shared" si="756"/>
        <v>AGRICULTURE OFFICE</v>
      </c>
      <c r="E337" s="50" t="str">
        <f t="shared" si="756"/>
        <v>HKL2180</v>
      </c>
      <c r="F337" s="50">
        <f t="shared" si="756"/>
        <v>2.82</v>
      </c>
      <c r="G337" s="50" t="str">
        <f t="shared" si="756"/>
        <v>GOVT</v>
      </c>
      <c r="H337" s="50" t="str">
        <f t="shared" si="756"/>
        <v>IPDS</v>
      </c>
      <c r="I337" s="50">
        <f t="shared" si="756"/>
        <v>3</v>
      </c>
      <c r="J337" s="50" t="str">
        <f t="shared" si="756"/>
        <v>LT 3</v>
      </c>
      <c r="K337" s="84">
        <f>'HKL2180'!Q9</f>
        <v>2850.5</v>
      </c>
      <c r="L337" s="84">
        <f>'HKL2180'!P9</f>
        <v>3063.7</v>
      </c>
      <c r="M337" s="84">
        <f>'[1]April-18'!M17</f>
        <v>1</v>
      </c>
      <c r="N337" s="84">
        <f t="shared" si="0"/>
        <v>213.19999999999982</v>
      </c>
      <c r="O337" s="84">
        <f>'HKL2180'!F9</f>
        <v>314.39999999999998</v>
      </c>
      <c r="P337" s="84">
        <f>'HKL2180'!E9</f>
        <v>459</v>
      </c>
      <c r="Q337" s="84">
        <f>Q336</f>
        <v>1</v>
      </c>
      <c r="R337" s="84">
        <f t="shared" si="683"/>
        <v>144.60000000000002</v>
      </c>
      <c r="S337" s="84">
        <f>'HKL2180'!K9</f>
        <v>241.2</v>
      </c>
      <c r="T337" s="84">
        <f>'HKL2180'!J9</f>
        <v>342</v>
      </c>
      <c r="U337" s="84">
        <f>'[1]April-18'!U17</f>
        <v>1</v>
      </c>
      <c r="V337" s="84">
        <f t="shared" si="684"/>
        <v>100.80000000000001</v>
      </c>
      <c r="W337" s="84"/>
      <c r="X337" s="84"/>
      <c r="Y337" s="85">
        <f t="shared" si="87"/>
        <v>2.3688888888888866</v>
      </c>
      <c r="Z337" s="84"/>
      <c r="AA337" s="82" t="str">
        <f>'HKL2180'!B9</f>
        <v>01.09.2019</v>
      </c>
    </row>
    <row r="338" spans="1:27" s="40" customFormat="1" ht="39.950000000000003" hidden="1" customHeight="1" x14ac:dyDescent="0.25">
      <c r="A338" s="49">
        <v>3</v>
      </c>
      <c r="B338" s="50" t="str">
        <f>B337</f>
        <v>H D Kote</v>
      </c>
      <c r="C338" s="50" t="str">
        <f t="shared" si="756"/>
        <v>HDKOTE/1714</v>
      </c>
      <c r="D338" s="50" t="str">
        <f t="shared" si="756"/>
        <v>AGRICULTURE OFFICE</v>
      </c>
      <c r="E338" s="50" t="str">
        <f t="shared" si="756"/>
        <v>HKL2180</v>
      </c>
      <c r="F338" s="50">
        <f t="shared" si="756"/>
        <v>2.82</v>
      </c>
      <c r="G338" s="50" t="str">
        <f t="shared" si="756"/>
        <v>GOVT</v>
      </c>
      <c r="H338" s="50" t="str">
        <f t="shared" si="756"/>
        <v>IPDS</v>
      </c>
      <c r="I338" s="50">
        <f t="shared" si="756"/>
        <v>3</v>
      </c>
      <c r="J338" s="50" t="str">
        <f t="shared" si="756"/>
        <v>LT 3</v>
      </c>
      <c r="K338" s="84">
        <f>'HKL2180'!Q10</f>
        <v>3063.7</v>
      </c>
      <c r="L338" s="84">
        <f>'HKL2180'!P10</f>
        <v>3267.4</v>
      </c>
      <c r="M338" s="84">
        <f>'[1]April-18'!M18</f>
        <v>1</v>
      </c>
      <c r="N338" s="84">
        <f t="shared" si="0"/>
        <v>203.70000000000027</v>
      </c>
      <c r="O338" s="84">
        <f>'HKL2180'!F10</f>
        <v>459</v>
      </c>
      <c r="P338" s="84">
        <f>'HKL2180'!E10</f>
        <v>589.79999999999995</v>
      </c>
      <c r="Q338" s="84">
        <f>Q337</f>
        <v>1</v>
      </c>
      <c r="R338" s="84">
        <f t="shared" si="683"/>
        <v>130.79999999999995</v>
      </c>
      <c r="S338" s="84">
        <f>'HKL2180'!K10</f>
        <v>342</v>
      </c>
      <c r="T338" s="84">
        <f>'HKL2180'!J10</f>
        <v>482.9</v>
      </c>
      <c r="U338" s="84">
        <f>'[1]April-18'!U18</f>
        <v>1</v>
      </c>
      <c r="V338" s="84">
        <f t="shared" si="684"/>
        <v>140.89999999999998</v>
      </c>
      <c r="W338" s="84"/>
      <c r="X338" s="84"/>
      <c r="Y338" s="85">
        <f t="shared" si="87"/>
        <v>2.2633333333333363</v>
      </c>
      <c r="Z338" s="84"/>
      <c r="AA338" s="82" t="str">
        <f>'HKL2180'!B10</f>
        <v>01.10.2019</v>
      </c>
    </row>
    <row r="339" spans="1:27" s="40" customFormat="1" ht="39.950000000000003" hidden="1" customHeight="1" x14ac:dyDescent="0.25">
      <c r="A339" s="49">
        <v>4</v>
      </c>
      <c r="B339" s="50" t="str">
        <f t="shared" ref="B339:J342" si="757">B338</f>
        <v>H D Kote</v>
      </c>
      <c r="C339" s="50" t="str">
        <f t="shared" si="757"/>
        <v>HDKOTE/1714</v>
      </c>
      <c r="D339" s="50" t="str">
        <f t="shared" si="757"/>
        <v>AGRICULTURE OFFICE</v>
      </c>
      <c r="E339" s="50" t="str">
        <f t="shared" si="757"/>
        <v>HKL2180</v>
      </c>
      <c r="F339" s="50">
        <f t="shared" si="757"/>
        <v>2.82</v>
      </c>
      <c r="G339" s="50" t="str">
        <f t="shared" si="757"/>
        <v>GOVT</v>
      </c>
      <c r="H339" s="50" t="str">
        <f t="shared" si="757"/>
        <v>IPDS</v>
      </c>
      <c r="I339" s="50">
        <f t="shared" si="757"/>
        <v>3</v>
      </c>
      <c r="J339" s="50" t="str">
        <f t="shared" si="757"/>
        <v>LT 3</v>
      </c>
      <c r="K339" s="84">
        <f>'HKL2180'!Q11</f>
        <v>3267.4</v>
      </c>
      <c r="L339" s="84">
        <f>'HKL2180'!P11</f>
        <v>3600</v>
      </c>
      <c r="M339" s="84">
        <f>'[1]April-18'!M19</f>
        <v>1</v>
      </c>
      <c r="N339" s="84">
        <f t="shared" si="0"/>
        <v>332.59999999999991</v>
      </c>
      <c r="O339" s="84">
        <f>'HKL2180'!F11</f>
        <v>589.79999999999995</v>
      </c>
      <c r="P339" s="84">
        <f>'HKL2180'!E11</f>
        <v>720</v>
      </c>
      <c r="Q339" s="84">
        <f t="shared" ref="Q339:Q368" si="758">Q338</f>
        <v>1</v>
      </c>
      <c r="R339" s="84">
        <f t="shared" si="683"/>
        <v>130.20000000000005</v>
      </c>
      <c r="S339" s="84">
        <f>'HKL2180'!K11</f>
        <v>482.9</v>
      </c>
      <c r="T339" s="84">
        <f>'HKL2180'!J11</f>
        <v>627</v>
      </c>
      <c r="U339" s="84">
        <f>'[1]April-18'!U19</f>
        <v>1</v>
      </c>
      <c r="V339" s="84">
        <f t="shared" si="684"/>
        <v>144.10000000000002</v>
      </c>
      <c r="W339" s="84"/>
      <c r="X339" s="84"/>
      <c r="Y339" s="85">
        <f t="shared" si="87"/>
        <v>3.6955555555555546</v>
      </c>
      <c r="Z339" s="84"/>
      <c r="AA339" s="82" t="str">
        <f>'HKL2180'!B11</f>
        <v>01.11.2019</v>
      </c>
    </row>
    <row r="340" spans="1:27" s="40" customFormat="1" ht="39.950000000000003" hidden="1" customHeight="1" x14ac:dyDescent="0.25">
      <c r="A340" s="49">
        <v>5</v>
      </c>
      <c r="B340" s="50" t="str">
        <f t="shared" si="757"/>
        <v>H D Kote</v>
      </c>
      <c r="C340" s="50" t="str">
        <f t="shared" si="757"/>
        <v>HDKOTE/1714</v>
      </c>
      <c r="D340" s="50" t="str">
        <f t="shared" si="757"/>
        <v>AGRICULTURE OFFICE</v>
      </c>
      <c r="E340" s="50" t="str">
        <f t="shared" si="757"/>
        <v>HKL2180</v>
      </c>
      <c r="F340" s="50">
        <f t="shared" si="757"/>
        <v>2.82</v>
      </c>
      <c r="G340" s="50" t="str">
        <f t="shared" si="757"/>
        <v>GOVT</v>
      </c>
      <c r="H340" s="50" t="str">
        <f t="shared" si="757"/>
        <v>IPDS</v>
      </c>
      <c r="I340" s="50">
        <f t="shared" si="757"/>
        <v>3</v>
      </c>
      <c r="J340" s="50" t="str">
        <f t="shared" si="757"/>
        <v>LT 3</v>
      </c>
      <c r="K340" s="84">
        <f>'HKL2180'!Q12</f>
        <v>3600</v>
      </c>
      <c r="L340" s="84">
        <f>'HKL2180'!P12</f>
        <v>3878.6</v>
      </c>
      <c r="M340" s="84">
        <f>'[1]April-18'!M20</f>
        <v>1</v>
      </c>
      <c r="N340" s="84">
        <f t="shared" si="0"/>
        <v>278.59999999999991</v>
      </c>
      <c r="O340" s="84">
        <f>'HKL2180'!F12</f>
        <v>720</v>
      </c>
      <c r="P340" s="84">
        <f>'HKL2180'!E12</f>
        <v>846</v>
      </c>
      <c r="Q340" s="84">
        <f t="shared" si="758"/>
        <v>1</v>
      </c>
      <c r="R340" s="84">
        <f t="shared" si="683"/>
        <v>126</v>
      </c>
      <c r="S340" s="84">
        <f>'HKL2180'!K12</f>
        <v>627</v>
      </c>
      <c r="T340" s="84">
        <f>'HKL2180'!J12</f>
        <v>747</v>
      </c>
      <c r="U340" s="84">
        <f>'[1]April-18'!U20</f>
        <v>1</v>
      </c>
      <c r="V340" s="84">
        <f t="shared" si="684"/>
        <v>120</v>
      </c>
      <c r="W340" s="84"/>
      <c r="X340" s="84"/>
      <c r="Y340" s="85">
        <f t="shared" si="87"/>
        <v>3.0955555555555545</v>
      </c>
      <c r="Z340" s="84"/>
      <c r="AA340" s="82" t="str">
        <f>'HKL2180'!B12</f>
        <v>01.12.2019</v>
      </c>
    </row>
    <row r="341" spans="1:27" s="40" customFormat="1" ht="39.950000000000003" hidden="1" customHeight="1" x14ac:dyDescent="0.25">
      <c r="A341" s="49">
        <v>6</v>
      </c>
      <c r="B341" s="50" t="str">
        <f t="shared" si="757"/>
        <v>H D Kote</v>
      </c>
      <c r="C341" s="50" t="str">
        <f t="shared" si="757"/>
        <v>HDKOTE/1714</v>
      </c>
      <c r="D341" s="50" t="str">
        <f t="shared" si="757"/>
        <v>AGRICULTURE OFFICE</v>
      </c>
      <c r="E341" s="50" t="str">
        <f t="shared" si="757"/>
        <v>HKL2180</v>
      </c>
      <c r="F341" s="50">
        <f t="shared" si="757"/>
        <v>2.82</v>
      </c>
      <c r="G341" s="50" t="str">
        <f t="shared" si="757"/>
        <v>GOVT</v>
      </c>
      <c r="H341" s="50" t="str">
        <f t="shared" si="757"/>
        <v>IPDS</v>
      </c>
      <c r="I341" s="50">
        <f t="shared" si="757"/>
        <v>3</v>
      </c>
      <c r="J341" s="50" t="str">
        <f t="shared" si="757"/>
        <v>LT 3</v>
      </c>
      <c r="K341" s="84">
        <f>'HKL2180'!Q13</f>
        <v>3878.6</v>
      </c>
      <c r="L341" s="84">
        <f>'HKL2180'!P13</f>
        <v>4160</v>
      </c>
      <c r="M341" s="84">
        <f>'[1]April-18'!M21</f>
        <v>1</v>
      </c>
      <c r="N341" s="84">
        <f t="shared" si="0"/>
        <v>281.40000000000009</v>
      </c>
      <c r="O341" s="84">
        <f>'HKL2180'!F13</f>
        <v>846</v>
      </c>
      <c r="P341" s="84">
        <f>'HKL2180'!E13</f>
        <v>965</v>
      </c>
      <c r="Q341" s="84">
        <f t="shared" si="758"/>
        <v>1</v>
      </c>
      <c r="R341" s="84">
        <f t="shared" si="683"/>
        <v>119</v>
      </c>
      <c r="S341" s="84">
        <f>'HKL2180'!K13</f>
        <v>747</v>
      </c>
      <c r="T341" s="84">
        <f>'HKL2180'!J13</f>
        <v>891</v>
      </c>
      <c r="U341" s="84">
        <f>'[1]April-18'!U21</f>
        <v>1</v>
      </c>
      <c r="V341" s="84">
        <f t="shared" si="684"/>
        <v>144</v>
      </c>
      <c r="W341" s="84"/>
      <c r="X341" s="84"/>
      <c r="Y341" s="85">
        <f t="shared" si="87"/>
        <v>3.1266666666666674</v>
      </c>
      <c r="Z341" s="84"/>
      <c r="AA341" s="82" t="str">
        <f>'HKL2180'!B13</f>
        <v>01.01.2020</v>
      </c>
    </row>
    <row r="342" spans="1:27" s="40" customFormat="1" ht="39.950000000000003" hidden="1" customHeight="1" x14ac:dyDescent="0.25">
      <c r="A342" s="49">
        <v>7</v>
      </c>
      <c r="B342" s="50" t="str">
        <f t="shared" si="757"/>
        <v>H D Kote</v>
      </c>
      <c r="C342" s="50" t="str">
        <f t="shared" si="757"/>
        <v>HDKOTE/1714</v>
      </c>
      <c r="D342" s="50" t="str">
        <f t="shared" si="757"/>
        <v>AGRICULTURE OFFICE</v>
      </c>
      <c r="E342" s="50" t="str">
        <f t="shared" si="757"/>
        <v>HKL2180</v>
      </c>
      <c r="F342" s="50">
        <f t="shared" si="757"/>
        <v>2.82</v>
      </c>
      <c r="G342" s="50" t="str">
        <f t="shared" si="757"/>
        <v>GOVT</v>
      </c>
      <c r="H342" s="50" t="str">
        <f t="shared" si="757"/>
        <v>IPDS</v>
      </c>
      <c r="I342" s="50">
        <f t="shared" si="757"/>
        <v>3</v>
      </c>
      <c r="J342" s="50" t="str">
        <f t="shared" si="757"/>
        <v>LT 3</v>
      </c>
      <c r="K342" s="84">
        <f>'HKL2180'!Q14</f>
        <v>4160</v>
      </c>
      <c r="L342" s="84">
        <f>'HKL2180'!P14</f>
        <v>4493.8</v>
      </c>
      <c r="M342" s="84">
        <f>'[1]April-18'!M22</f>
        <v>1</v>
      </c>
      <c r="N342" s="84">
        <f t="shared" si="0"/>
        <v>333.80000000000018</v>
      </c>
      <c r="O342" s="84">
        <f>'HKL2180'!F14</f>
        <v>965</v>
      </c>
      <c r="P342" s="84">
        <f>'HKL2180'!E14</f>
        <v>1075</v>
      </c>
      <c r="Q342" s="84">
        <f t="shared" si="758"/>
        <v>1</v>
      </c>
      <c r="R342" s="84">
        <f t="shared" si="683"/>
        <v>110</v>
      </c>
      <c r="S342" s="84">
        <f>'HKL2180'!K14</f>
        <v>891</v>
      </c>
      <c r="T342" s="84">
        <f>'HKL2180'!J14</f>
        <v>1075</v>
      </c>
      <c r="U342" s="84">
        <f>'[1]April-18'!U22</f>
        <v>1</v>
      </c>
      <c r="V342" s="84">
        <f t="shared" si="684"/>
        <v>184</v>
      </c>
      <c r="W342" s="84"/>
      <c r="X342" s="84"/>
      <c r="Y342" s="85">
        <f t="shared" si="87"/>
        <v>3.7088888888888909</v>
      </c>
      <c r="Z342" s="84"/>
      <c r="AA342" s="82" t="s">
        <v>253</v>
      </c>
    </row>
    <row r="343" spans="1:27" s="40" customFormat="1" ht="39.950000000000003" hidden="1" customHeight="1" x14ac:dyDescent="0.25">
      <c r="A343" s="49">
        <v>8</v>
      </c>
      <c r="B343" s="50" t="str">
        <f t="shared" ref="B343:J343" si="759">B342</f>
        <v>H D Kote</v>
      </c>
      <c r="C343" s="50" t="str">
        <f t="shared" si="759"/>
        <v>HDKOTE/1714</v>
      </c>
      <c r="D343" s="50" t="str">
        <f t="shared" si="759"/>
        <v>AGRICULTURE OFFICE</v>
      </c>
      <c r="E343" s="50" t="str">
        <f t="shared" si="759"/>
        <v>HKL2180</v>
      </c>
      <c r="F343" s="50">
        <f t="shared" si="759"/>
        <v>2.82</v>
      </c>
      <c r="G343" s="50" t="str">
        <f t="shared" si="759"/>
        <v>GOVT</v>
      </c>
      <c r="H343" s="50" t="str">
        <f t="shared" si="759"/>
        <v>IPDS</v>
      </c>
      <c r="I343" s="50">
        <f t="shared" si="759"/>
        <v>3</v>
      </c>
      <c r="J343" s="50" t="str">
        <f t="shared" si="759"/>
        <v>LT 3</v>
      </c>
      <c r="K343" s="84">
        <f>'HKL2180'!Q15</f>
        <v>4493.8</v>
      </c>
      <c r="L343" s="84">
        <f>'HKL2180'!P15</f>
        <v>4823.3</v>
      </c>
      <c r="M343" s="84">
        <f>'[1]April-18'!M23</f>
        <v>1</v>
      </c>
      <c r="N343" s="84">
        <f t="shared" ref="N343:N349" si="760">(L343-K343)*M343</f>
        <v>329.5</v>
      </c>
      <c r="O343" s="84">
        <f>'HKL2180'!F15</f>
        <v>1075</v>
      </c>
      <c r="P343" s="84">
        <f>'HKL2180'!E15</f>
        <v>1160</v>
      </c>
      <c r="Q343" s="84">
        <f t="shared" si="758"/>
        <v>1</v>
      </c>
      <c r="R343" s="84">
        <f t="shared" ref="R343:R349" si="761">(P343-O343)*Q343</f>
        <v>85</v>
      </c>
      <c r="S343" s="84">
        <f>'HKL2180'!K15</f>
        <v>1075</v>
      </c>
      <c r="T343" s="84">
        <f>'HKL2180'!J15</f>
        <v>1299.2</v>
      </c>
      <c r="U343" s="84">
        <f>'[1]April-18'!U23</f>
        <v>1</v>
      </c>
      <c r="V343" s="84">
        <f t="shared" ref="V343:V349" si="762">(T343-S343)*U343</f>
        <v>224.20000000000005</v>
      </c>
      <c r="W343" s="84"/>
      <c r="X343" s="84"/>
      <c r="Y343" s="85">
        <f t="shared" ref="Y343:Y349" si="763">N343/30/I343</f>
        <v>3.661111111111111</v>
      </c>
      <c r="Z343" s="84"/>
      <c r="AA343" s="82" t="s">
        <v>254</v>
      </c>
    </row>
    <row r="344" spans="1:27" s="40" customFormat="1" ht="39.950000000000003" hidden="1" customHeight="1" x14ac:dyDescent="0.25">
      <c r="A344" s="49">
        <v>9</v>
      </c>
      <c r="B344" s="50" t="str">
        <f t="shared" ref="B344:J344" si="764">B343</f>
        <v>H D Kote</v>
      </c>
      <c r="C344" s="50" t="str">
        <f t="shared" si="764"/>
        <v>HDKOTE/1714</v>
      </c>
      <c r="D344" s="50" t="str">
        <f t="shared" si="764"/>
        <v>AGRICULTURE OFFICE</v>
      </c>
      <c r="E344" s="50" t="str">
        <f t="shared" si="764"/>
        <v>HKL2180</v>
      </c>
      <c r="F344" s="50">
        <f t="shared" si="764"/>
        <v>2.82</v>
      </c>
      <c r="G344" s="50" t="str">
        <f t="shared" si="764"/>
        <v>GOVT</v>
      </c>
      <c r="H344" s="50" t="str">
        <f t="shared" si="764"/>
        <v>IPDS</v>
      </c>
      <c r="I344" s="50">
        <f t="shared" si="764"/>
        <v>3</v>
      </c>
      <c r="J344" s="50" t="str">
        <f t="shared" si="764"/>
        <v>LT 3</v>
      </c>
      <c r="K344" s="84">
        <f>'HKL2180'!Q16</f>
        <v>4823.3</v>
      </c>
      <c r="L344" s="84">
        <f>'HKL2180'!P16</f>
        <v>5146.3</v>
      </c>
      <c r="M344" s="84">
        <f>'[1]April-18'!M24</f>
        <v>1</v>
      </c>
      <c r="N344" s="84">
        <f t="shared" si="760"/>
        <v>323</v>
      </c>
      <c r="O344" s="84">
        <f>'HKL2180'!F16</f>
        <v>1160</v>
      </c>
      <c r="P344" s="84">
        <f>'HKL2180'!E16</f>
        <v>1243</v>
      </c>
      <c r="Q344" s="84">
        <f t="shared" si="758"/>
        <v>1</v>
      </c>
      <c r="R344" s="84">
        <f t="shared" si="761"/>
        <v>83</v>
      </c>
      <c r="S344" s="84">
        <f>'HKL2180'!K16</f>
        <v>1299.2</v>
      </c>
      <c r="T344" s="84">
        <f>'HKL2180'!J16</f>
        <v>1511.2</v>
      </c>
      <c r="U344" s="84">
        <f>'[1]April-18'!U24</f>
        <v>1</v>
      </c>
      <c r="V344" s="84">
        <f t="shared" si="762"/>
        <v>212</v>
      </c>
      <c r="W344" s="84"/>
      <c r="X344" s="84"/>
      <c r="Y344" s="85">
        <f t="shared" si="763"/>
        <v>3.588888888888889</v>
      </c>
      <c r="Z344" s="84"/>
      <c r="AA344" s="82" t="s">
        <v>258</v>
      </c>
    </row>
    <row r="345" spans="1:27" s="40" customFormat="1" ht="39.950000000000003" hidden="1" customHeight="1" x14ac:dyDescent="0.25">
      <c r="A345" s="49">
        <v>10</v>
      </c>
      <c r="B345" s="50" t="str">
        <f t="shared" ref="B345:J345" si="765">B344</f>
        <v>H D Kote</v>
      </c>
      <c r="C345" s="50" t="str">
        <f t="shared" si="765"/>
        <v>HDKOTE/1714</v>
      </c>
      <c r="D345" s="50" t="str">
        <f t="shared" si="765"/>
        <v>AGRICULTURE OFFICE</v>
      </c>
      <c r="E345" s="50" t="str">
        <f t="shared" si="765"/>
        <v>HKL2180</v>
      </c>
      <c r="F345" s="50">
        <f t="shared" si="765"/>
        <v>2.82</v>
      </c>
      <c r="G345" s="50" t="str">
        <f t="shared" si="765"/>
        <v>GOVT</v>
      </c>
      <c r="H345" s="50" t="str">
        <f t="shared" si="765"/>
        <v>IPDS</v>
      </c>
      <c r="I345" s="50">
        <f t="shared" si="765"/>
        <v>3</v>
      </c>
      <c r="J345" s="50" t="str">
        <f t="shared" si="765"/>
        <v>LT 3</v>
      </c>
      <c r="K345" s="84">
        <f>'HKL2180'!Q17</f>
        <v>0</v>
      </c>
      <c r="L345" s="84">
        <f>'HKL2180'!P17</f>
        <v>0</v>
      </c>
      <c r="M345" s="84">
        <f>'[1]April-18'!M25</f>
        <v>1</v>
      </c>
      <c r="N345" s="84">
        <f t="shared" si="760"/>
        <v>0</v>
      </c>
      <c r="O345" s="84">
        <f>'HKL2180'!F17</f>
        <v>0</v>
      </c>
      <c r="P345" s="84">
        <f>'HKL2180'!E17</f>
        <v>0</v>
      </c>
      <c r="Q345" s="84">
        <f t="shared" si="758"/>
        <v>1</v>
      </c>
      <c r="R345" s="84">
        <f t="shared" si="761"/>
        <v>0</v>
      </c>
      <c r="S345" s="84">
        <f>'HKL2180'!K17</f>
        <v>0</v>
      </c>
      <c r="T345" s="84">
        <f>'HKL2180'!J17</f>
        <v>0</v>
      </c>
      <c r="U345" s="84">
        <f>'[1]April-18'!U25</f>
        <v>1</v>
      </c>
      <c r="V345" s="84">
        <f t="shared" si="762"/>
        <v>0</v>
      </c>
      <c r="W345" s="84"/>
      <c r="X345" s="84"/>
      <c r="Y345" s="85">
        <f t="shared" si="763"/>
        <v>0</v>
      </c>
      <c r="Z345" s="84"/>
      <c r="AA345" s="82"/>
    </row>
    <row r="346" spans="1:27" s="40" customFormat="1" ht="39.950000000000003" hidden="1" customHeight="1" x14ac:dyDescent="0.25">
      <c r="A346" s="49">
        <v>11</v>
      </c>
      <c r="B346" s="50" t="str">
        <f t="shared" ref="B346:J346" si="766">B345</f>
        <v>H D Kote</v>
      </c>
      <c r="C346" s="50" t="str">
        <f t="shared" si="766"/>
        <v>HDKOTE/1714</v>
      </c>
      <c r="D346" s="50" t="str">
        <f t="shared" si="766"/>
        <v>AGRICULTURE OFFICE</v>
      </c>
      <c r="E346" s="50" t="str">
        <f t="shared" si="766"/>
        <v>HKL2180</v>
      </c>
      <c r="F346" s="50">
        <f t="shared" si="766"/>
        <v>2.82</v>
      </c>
      <c r="G346" s="50" t="str">
        <f t="shared" si="766"/>
        <v>GOVT</v>
      </c>
      <c r="H346" s="50" t="str">
        <f t="shared" si="766"/>
        <v>IPDS</v>
      </c>
      <c r="I346" s="50">
        <f t="shared" si="766"/>
        <v>3</v>
      </c>
      <c r="J346" s="50" t="str">
        <f t="shared" si="766"/>
        <v>LT 3</v>
      </c>
      <c r="K346" s="84">
        <f>'HKL2180'!Q18</f>
        <v>5146.3</v>
      </c>
      <c r="L346" s="84">
        <f>'HKL2180'!P18</f>
        <v>5503.9</v>
      </c>
      <c r="M346" s="84">
        <f>M345</f>
        <v>1</v>
      </c>
      <c r="N346" s="84">
        <f t="shared" si="760"/>
        <v>357.59999999999945</v>
      </c>
      <c r="O346" s="84">
        <f>'HKL2180'!F18</f>
        <v>1243</v>
      </c>
      <c r="P346" s="84">
        <f>'HKL2180'!E18</f>
        <v>1353.6</v>
      </c>
      <c r="Q346" s="84">
        <f t="shared" si="758"/>
        <v>1</v>
      </c>
      <c r="R346" s="84">
        <f t="shared" si="761"/>
        <v>110.59999999999991</v>
      </c>
      <c r="S346" s="84">
        <f>'HKL2180'!K18</f>
        <v>1511.2</v>
      </c>
      <c r="T346" s="84">
        <f>'HKL2180'!J18</f>
        <v>1730.5</v>
      </c>
      <c r="U346" s="84">
        <f>U345</f>
        <v>1</v>
      </c>
      <c r="V346" s="84">
        <f t="shared" si="762"/>
        <v>219.29999999999995</v>
      </c>
      <c r="W346" s="84"/>
      <c r="X346" s="84"/>
      <c r="Y346" s="85">
        <f t="shared" si="763"/>
        <v>3.9733333333333274</v>
      </c>
      <c r="Z346" s="84"/>
      <c r="AA346" s="82" t="s">
        <v>259</v>
      </c>
    </row>
    <row r="347" spans="1:27" s="40" customFormat="1" ht="39.950000000000003" hidden="1" customHeight="1" x14ac:dyDescent="0.25">
      <c r="A347" s="49">
        <v>12</v>
      </c>
      <c r="B347" s="50" t="str">
        <f t="shared" ref="B347:J347" si="767">B346</f>
        <v>H D Kote</v>
      </c>
      <c r="C347" s="50" t="str">
        <f t="shared" si="767"/>
        <v>HDKOTE/1714</v>
      </c>
      <c r="D347" s="50" t="str">
        <f t="shared" si="767"/>
        <v>AGRICULTURE OFFICE</v>
      </c>
      <c r="E347" s="50" t="str">
        <f t="shared" si="767"/>
        <v>HKL2180</v>
      </c>
      <c r="F347" s="50">
        <f t="shared" si="767"/>
        <v>2.82</v>
      </c>
      <c r="G347" s="50" t="str">
        <f t="shared" si="767"/>
        <v>GOVT</v>
      </c>
      <c r="H347" s="50" t="str">
        <f t="shared" si="767"/>
        <v>IPDS</v>
      </c>
      <c r="I347" s="50">
        <f t="shared" si="767"/>
        <v>3</v>
      </c>
      <c r="J347" s="50" t="str">
        <f t="shared" si="767"/>
        <v>LT 3</v>
      </c>
      <c r="K347" s="84">
        <f>'HKL2180'!Q19</f>
        <v>5503.9</v>
      </c>
      <c r="L347" s="84">
        <f>'HKL2180'!P19</f>
        <v>5844</v>
      </c>
      <c r="M347" s="84">
        <f>M346</f>
        <v>1</v>
      </c>
      <c r="N347" s="84">
        <f t="shared" si="760"/>
        <v>340.10000000000036</v>
      </c>
      <c r="O347" s="84">
        <f>'HKL2180'!F19</f>
        <v>1353.6</v>
      </c>
      <c r="P347" s="84">
        <f>'HKL2180'!E19</f>
        <v>1450.4</v>
      </c>
      <c r="Q347" s="84">
        <f t="shared" si="758"/>
        <v>1</v>
      </c>
      <c r="R347" s="84">
        <f t="shared" si="761"/>
        <v>96.800000000000182</v>
      </c>
      <c r="S347" s="84">
        <f>'HKL2180'!K19</f>
        <v>1730.5</v>
      </c>
      <c r="T347" s="84">
        <f>'HKL2180'!J19</f>
        <v>1890.7</v>
      </c>
      <c r="U347" s="84">
        <f>U346</f>
        <v>1</v>
      </c>
      <c r="V347" s="84">
        <f t="shared" si="762"/>
        <v>160.20000000000005</v>
      </c>
      <c r="W347" s="84"/>
      <c r="X347" s="84"/>
      <c r="Y347" s="85">
        <f t="shared" si="763"/>
        <v>3.778888888888893</v>
      </c>
      <c r="Z347" s="84"/>
      <c r="AA347" s="82" t="s">
        <v>263</v>
      </c>
    </row>
    <row r="348" spans="1:27" s="40" customFormat="1" ht="39.950000000000003" hidden="1" customHeight="1" x14ac:dyDescent="0.25">
      <c r="A348" s="49">
        <v>13</v>
      </c>
      <c r="B348" s="50" t="str">
        <f t="shared" ref="B348:J348" si="768">B347</f>
        <v>H D Kote</v>
      </c>
      <c r="C348" s="50" t="str">
        <f t="shared" si="768"/>
        <v>HDKOTE/1714</v>
      </c>
      <c r="D348" s="50" t="str">
        <f t="shared" si="768"/>
        <v>AGRICULTURE OFFICE</v>
      </c>
      <c r="E348" s="50" t="str">
        <f t="shared" si="768"/>
        <v>HKL2180</v>
      </c>
      <c r="F348" s="50">
        <f t="shared" si="768"/>
        <v>2.82</v>
      </c>
      <c r="G348" s="50" t="str">
        <f t="shared" si="768"/>
        <v>GOVT</v>
      </c>
      <c r="H348" s="50" t="str">
        <f t="shared" si="768"/>
        <v>IPDS</v>
      </c>
      <c r="I348" s="50">
        <f t="shared" si="768"/>
        <v>3</v>
      </c>
      <c r="J348" s="50" t="str">
        <f t="shared" si="768"/>
        <v>LT 3</v>
      </c>
      <c r="K348" s="84">
        <f>'HKL2180'!Q20</f>
        <v>5844</v>
      </c>
      <c r="L348" s="84">
        <f>'HKL2180'!P20</f>
        <v>6057.2</v>
      </c>
      <c r="M348" s="84">
        <f>M347</f>
        <v>1</v>
      </c>
      <c r="N348" s="84">
        <f t="shared" si="760"/>
        <v>213.19999999999982</v>
      </c>
      <c r="O348" s="84">
        <f>'HKL2180'!F20</f>
        <v>1450.4</v>
      </c>
      <c r="P348" s="84">
        <f>'HKL2180'!E20</f>
        <v>1546.6</v>
      </c>
      <c r="Q348" s="84">
        <f t="shared" si="758"/>
        <v>1</v>
      </c>
      <c r="R348" s="84">
        <f t="shared" si="761"/>
        <v>96.199999999999818</v>
      </c>
      <c r="S348" s="84">
        <f>'HKL2180'!K20</f>
        <v>1890.7</v>
      </c>
      <c r="T348" s="84">
        <f>'HKL2180'!J20</f>
        <v>1997.9</v>
      </c>
      <c r="U348" s="84">
        <f>U347</f>
        <v>1</v>
      </c>
      <c r="V348" s="84">
        <f t="shared" si="762"/>
        <v>107.20000000000005</v>
      </c>
      <c r="W348" s="84"/>
      <c r="X348" s="84"/>
      <c r="Y348" s="85">
        <f t="shared" si="763"/>
        <v>2.3688888888888866</v>
      </c>
      <c r="Z348" s="84"/>
      <c r="AA348" s="82" t="s">
        <v>265</v>
      </c>
    </row>
    <row r="349" spans="1:27" s="40" customFormat="1" ht="39.950000000000003" hidden="1" customHeight="1" x14ac:dyDescent="0.25">
      <c r="A349" s="49">
        <v>14</v>
      </c>
      <c r="B349" s="50" t="str">
        <f t="shared" ref="B349:J349" si="769">B348</f>
        <v>H D Kote</v>
      </c>
      <c r="C349" s="50" t="str">
        <f t="shared" si="769"/>
        <v>HDKOTE/1714</v>
      </c>
      <c r="D349" s="50" t="str">
        <f t="shared" si="769"/>
        <v>AGRICULTURE OFFICE</v>
      </c>
      <c r="E349" s="50" t="str">
        <f t="shared" si="769"/>
        <v>HKL2180</v>
      </c>
      <c r="F349" s="50">
        <f t="shared" si="769"/>
        <v>2.82</v>
      </c>
      <c r="G349" s="50" t="str">
        <f t="shared" si="769"/>
        <v>GOVT</v>
      </c>
      <c r="H349" s="50" t="str">
        <f t="shared" si="769"/>
        <v>IPDS</v>
      </c>
      <c r="I349" s="50">
        <f t="shared" si="769"/>
        <v>3</v>
      </c>
      <c r="J349" s="50" t="str">
        <f t="shared" si="769"/>
        <v>LT 3</v>
      </c>
      <c r="K349" s="84">
        <f>'HKL2180'!Q21</f>
        <v>6057.2</v>
      </c>
      <c r="L349" s="84">
        <f>'HKL2180'!P21</f>
        <v>6290.8</v>
      </c>
      <c r="M349" s="84">
        <f>'[1]April-18'!M29</f>
        <v>1</v>
      </c>
      <c r="N349" s="84">
        <f t="shared" si="760"/>
        <v>233.60000000000036</v>
      </c>
      <c r="O349" s="84">
        <f>'HKL2180'!F21</f>
        <v>1546.6</v>
      </c>
      <c r="P349" s="84">
        <f>'HKL2180'!E21</f>
        <v>1639.7</v>
      </c>
      <c r="Q349" s="84">
        <f t="shared" si="758"/>
        <v>1</v>
      </c>
      <c r="R349" s="84">
        <f t="shared" si="761"/>
        <v>93.100000000000136</v>
      </c>
      <c r="S349" s="84">
        <f>'HKL2180'!K21</f>
        <v>1997.9</v>
      </c>
      <c r="T349" s="84">
        <f>'HKL2180'!J21</f>
        <v>2101.4</v>
      </c>
      <c r="U349" s="84">
        <f>'[1]April-18'!U29</f>
        <v>1</v>
      </c>
      <c r="V349" s="84">
        <f t="shared" si="762"/>
        <v>103.5</v>
      </c>
      <c r="W349" s="84"/>
      <c r="X349" s="84"/>
      <c r="Y349" s="85">
        <f t="shared" si="763"/>
        <v>2.5955555555555594</v>
      </c>
      <c r="Z349" s="84"/>
      <c r="AA349" s="82"/>
    </row>
    <row r="350" spans="1:27" s="40" customFormat="1" ht="39.950000000000003" hidden="1" customHeight="1" x14ac:dyDescent="0.25">
      <c r="A350" s="49">
        <v>15</v>
      </c>
      <c r="B350" s="50" t="str">
        <f t="shared" ref="B350:J350" si="770">B349</f>
        <v>H D Kote</v>
      </c>
      <c r="C350" s="50" t="str">
        <f t="shared" si="770"/>
        <v>HDKOTE/1714</v>
      </c>
      <c r="D350" s="50" t="str">
        <f t="shared" si="770"/>
        <v>AGRICULTURE OFFICE</v>
      </c>
      <c r="E350" s="50" t="str">
        <f t="shared" si="770"/>
        <v>HKL2180</v>
      </c>
      <c r="F350" s="50">
        <f t="shared" si="770"/>
        <v>2.82</v>
      </c>
      <c r="G350" s="50" t="str">
        <f t="shared" si="770"/>
        <v>GOVT</v>
      </c>
      <c r="H350" s="50" t="str">
        <f t="shared" si="770"/>
        <v>IPDS</v>
      </c>
      <c r="I350" s="50">
        <f t="shared" si="770"/>
        <v>3</v>
      </c>
      <c r="J350" s="50" t="str">
        <f t="shared" si="770"/>
        <v>LT 3</v>
      </c>
      <c r="K350" s="84">
        <f>'HKL2180'!Q22</f>
        <v>6290.8</v>
      </c>
      <c r="L350" s="84">
        <f>'HKL2180'!P22</f>
        <v>6489.8</v>
      </c>
      <c r="M350" s="84">
        <f t="shared" ref="M350" si="771">M349</f>
        <v>1</v>
      </c>
      <c r="N350" s="84">
        <f t="shared" ref="N350:N358" si="772">(L350-K350)*M350</f>
        <v>199</v>
      </c>
      <c r="O350" s="84">
        <f>'HKL2180'!F22</f>
        <v>1639.7</v>
      </c>
      <c r="P350" s="84">
        <f>'HKL2180'!E22</f>
        <v>1741.5</v>
      </c>
      <c r="Q350" s="84">
        <f t="shared" si="758"/>
        <v>1</v>
      </c>
      <c r="R350" s="84">
        <f t="shared" ref="R350:R358" si="773">(P350-O350)*Q350</f>
        <v>101.79999999999995</v>
      </c>
      <c r="S350" s="84">
        <f>'HKL2180'!K22</f>
        <v>2101.4</v>
      </c>
      <c r="T350" s="84">
        <f>'HKL2180'!J22</f>
        <v>2200</v>
      </c>
      <c r="U350" s="84">
        <f t="shared" ref="U350" si="774">U349</f>
        <v>1</v>
      </c>
      <c r="V350" s="84">
        <f t="shared" ref="V350:V358" si="775">(T350-S350)*U350</f>
        <v>98.599999999999909</v>
      </c>
      <c r="W350" s="84"/>
      <c r="X350" s="84"/>
      <c r="Y350" s="85">
        <f t="shared" ref="Y350:Y358" si="776">N350/30/I350</f>
        <v>2.2111111111111112</v>
      </c>
      <c r="Z350" s="84"/>
      <c r="AA350" s="82"/>
    </row>
    <row r="351" spans="1:27" s="40" customFormat="1" ht="39.950000000000003" hidden="1" customHeight="1" x14ac:dyDescent="0.25">
      <c r="A351" s="49">
        <v>16</v>
      </c>
      <c r="B351" s="50" t="str">
        <f t="shared" ref="B351:J351" si="777">B350</f>
        <v>H D Kote</v>
      </c>
      <c r="C351" s="50" t="str">
        <f t="shared" si="777"/>
        <v>HDKOTE/1714</v>
      </c>
      <c r="D351" s="50" t="str">
        <f t="shared" si="777"/>
        <v>AGRICULTURE OFFICE</v>
      </c>
      <c r="E351" s="50" t="str">
        <f t="shared" si="777"/>
        <v>HKL2180</v>
      </c>
      <c r="F351" s="50">
        <f t="shared" si="777"/>
        <v>2.82</v>
      </c>
      <c r="G351" s="50" t="str">
        <f t="shared" si="777"/>
        <v>GOVT</v>
      </c>
      <c r="H351" s="50" t="str">
        <f t="shared" si="777"/>
        <v>IPDS</v>
      </c>
      <c r="I351" s="50">
        <f t="shared" si="777"/>
        <v>3</v>
      </c>
      <c r="J351" s="50" t="str">
        <f t="shared" si="777"/>
        <v>LT 3</v>
      </c>
      <c r="K351" s="84">
        <f>'HKL2180'!Q23</f>
        <v>6489.8</v>
      </c>
      <c r="L351" s="84">
        <f>'HKL2180'!P23</f>
        <v>6670.9</v>
      </c>
      <c r="M351" s="84">
        <f>'[1]April-18'!M31</f>
        <v>1</v>
      </c>
      <c r="N351" s="84">
        <f t="shared" si="772"/>
        <v>181.09999999999945</v>
      </c>
      <c r="O351" s="84">
        <f>'HKL2180'!F23</f>
        <v>1741.5</v>
      </c>
      <c r="P351" s="84">
        <f>'HKL2180'!E23</f>
        <v>1853.6</v>
      </c>
      <c r="Q351" s="84">
        <f t="shared" si="758"/>
        <v>1</v>
      </c>
      <c r="R351" s="84">
        <f t="shared" si="773"/>
        <v>112.09999999999991</v>
      </c>
      <c r="S351" s="84">
        <f>'HKL2180'!K23</f>
        <v>2200</v>
      </c>
      <c r="T351" s="84">
        <f>'HKL2180'!J23</f>
        <v>2274.9</v>
      </c>
      <c r="U351" s="84">
        <f>'[1]April-18'!U31</f>
        <v>1</v>
      </c>
      <c r="V351" s="84">
        <f t="shared" si="775"/>
        <v>74.900000000000091</v>
      </c>
      <c r="W351" s="84"/>
      <c r="X351" s="84"/>
      <c r="Y351" s="85">
        <f t="shared" si="776"/>
        <v>2.0122222222222161</v>
      </c>
      <c r="Z351" s="84"/>
      <c r="AA351" s="82"/>
    </row>
    <row r="352" spans="1:27" s="40" customFormat="1" ht="39.950000000000003" hidden="1" customHeight="1" x14ac:dyDescent="0.25">
      <c r="A352" s="93">
        <v>17</v>
      </c>
      <c r="B352" s="50" t="str">
        <f t="shared" ref="B352:J352" si="778">B351</f>
        <v>H D Kote</v>
      </c>
      <c r="C352" s="50" t="str">
        <f t="shared" si="778"/>
        <v>HDKOTE/1714</v>
      </c>
      <c r="D352" s="50" t="str">
        <f t="shared" si="778"/>
        <v>AGRICULTURE OFFICE</v>
      </c>
      <c r="E352" s="50" t="str">
        <f t="shared" si="778"/>
        <v>HKL2180</v>
      </c>
      <c r="F352" s="50">
        <f t="shared" si="778"/>
        <v>2.82</v>
      </c>
      <c r="G352" s="50" t="str">
        <f t="shared" si="778"/>
        <v>GOVT</v>
      </c>
      <c r="H352" s="50" t="str">
        <f t="shared" si="778"/>
        <v>IPDS</v>
      </c>
      <c r="I352" s="50">
        <f t="shared" si="778"/>
        <v>3</v>
      </c>
      <c r="J352" s="50" t="str">
        <f t="shared" si="778"/>
        <v>LT 3</v>
      </c>
      <c r="K352" s="84">
        <f>'HKL2180'!Q24</f>
        <v>6670.9</v>
      </c>
      <c r="L352" s="84">
        <f>'HKL2180'!P24</f>
        <v>6885</v>
      </c>
      <c r="M352" s="84">
        <f t="shared" ref="M352" si="779">M351</f>
        <v>1</v>
      </c>
      <c r="N352" s="84">
        <f t="shared" si="772"/>
        <v>214.10000000000036</v>
      </c>
      <c r="O352" s="84">
        <f>'HKL2180'!F24</f>
        <v>1853.6</v>
      </c>
      <c r="P352" s="84">
        <f>'HKL2180'!E24</f>
        <v>1970</v>
      </c>
      <c r="Q352" s="84">
        <f t="shared" si="758"/>
        <v>1</v>
      </c>
      <c r="R352" s="84">
        <f t="shared" si="773"/>
        <v>116.40000000000009</v>
      </c>
      <c r="S352" s="84">
        <f>'HKL2180'!K24</f>
        <v>2274.9</v>
      </c>
      <c r="T352" s="84">
        <f>'HKL2180'!J24</f>
        <v>2368.4</v>
      </c>
      <c r="U352" s="84">
        <f t="shared" ref="U352" si="780">U351</f>
        <v>1</v>
      </c>
      <c r="V352" s="84">
        <f t="shared" si="775"/>
        <v>93.5</v>
      </c>
      <c r="W352" s="84"/>
      <c r="X352" s="84"/>
      <c r="Y352" s="85">
        <f t="shared" si="776"/>
        <v>2.378888888888893</v>
      </c>
      <c r="Z352" s="84"/>
      <c r="AA352" s="82"/>
    </row>
    <row r="353" spans="1:27" s="40" customFormat="1" ht="39.950000000000003" hidden="1" customHeight="1" x14ac:dyDescent="0.25">
      <c r="A353" s="94">
        <v>18</v>
      </c>
      <c r="B353" s="50" t="str">
        <f t="shared" ref="B353:J353" si="781">B352</f>
        <v>H D Kote</v>
      </c>
      <c r="C353" s="50" t="str">
        <f t="shared" si="781"/>
        <v>HDKOTE/1714</v>
      </c>
      <c r="D353" s="50" t="str">
        <f t="shared" si="781"/>
        <v>AGRICULTURE OFFICE</v>
      </c>
      <c r="E353" s="50" t="str">
        <f t="shared" si="781"/>
        <v>HKL2180</v>
      </c>
      <c r="F353" s="50">
        <f t="shared" si="781"/>
        <v>2.82</v>
      </c>
      <c r="G353" s="50" t="str">
        <f t="shared" si="781"/>
        <v>GOVT</v>
      </c>
      <c r="H353" s="50" t="str">
        <f t="shared" si="781"/>
        <v>IPDS</v>
      </c>
      <c r="I353" s="50">
        <f t="shared" si="781"/>
        <v>3</v>
      </c>
      <c r="J353" s="50" t="str">
        <f t="shared" si="781"/>
        <v>LT 3</v>
      </c>
      <c r="K353" s="84">
        <f>'HKL2180'!Q25</f>
        <v>6885</v>
      </c>
      <c r="L353" s="84">
        <f>'HKL2180'!P25</f>
        <v>7036.3</v>
      </c>
      <c r="M353" s="84">
        <f>M352</f>
        <v>1</v>
      </c>
      <c r="N353" s="84">
        <f t="shared" si="772"/>
        <v>151.30000000000018</v>
      </c>
      <c r="O353" s="84">
        <f>'HKL2180'!F25</f>
        <v>1970</v>
      </c>
      <c r="P353" s="84">
        <f>'HKL2180'!E25</f>
        <v>2088.4</v>
      </c>
      <c r="Q353" s="84">
        <f t="shared" si="758"/>
        <v>1</v>
      </c>
      <c r="R353" s="84">
        <f t="shared" si="773"/>
        <v>118.40000000000009</v>
      </c>
      <c r="S353" s="84">
        <f>'HKL2180'!K25</f>
        <v>2368.4</v>
      </c>
      <c r="T353" s="84">
        <f>'HKL2180'!J25</f>
        <v>2422.3000000000002</v>
      </c>
      <c r="U353" s="84">
        <f>U352</f>
        <v>1</v>
      </c>
      <c r="V353" s="84">
        <f t="shared" si="775"/>
        <v>53.900000000000091</v>
      </c>
      <c r="W353" s="84"/>
      <c r="X353" s="84"/>
      <c r="Y353" s="85">
        <f t="shared" si="776"/>
        <v>1.681111111111113</v>
      </c>
      <c r="Z353" s="84"/>
      <c r="AA353" s="82"/>
    </row>
    <row r="354" spans="1:27" s="40" customFormat="1" ht="39.950000000000003" hidden="1" customHeight="1" x14ac:dyDescent="0.25">
      <c r="A354" s="95">
        <v>19</v>
      </c>
      <c r="B354" s="50" t="str">
        <f t="shared" ref="B354:J354" si="782">B353</f>
        <v>H D Kote</v>
      </c>
      <c r="C354" s="50" t="str">
        <f t="shared" si="782"/>
        <v>HDKOTE/1714</v>
      </c>
      <c r="D354" s="50" t="str">
        <f t="shared" si="782"/>
        <v>AGRICULTURE OFFICE</v>
      </c>
      <c r="E354" s="50" t="str">
        <f t="shared" si="782"/>
        <v>HKL2180</v>
      </c>
      <c r="F354" s="50">
        <f t="shared" si="782"/>
        <v>2.82</v>
      </c>
      <c r="G354" s="50" t="str">
        <f t="shared" si="782"/>
        <v>GOVT</v>
      </c>
      <c r="H354" s="50" t="str">
        <f t="shared" si="782"/>
        <v>IPDS</v>
      </c>
      <c r="I354" s="50">
        <f t="shared" si="782"/>
        <v>3</v>
      </c>
      <c r="J354" s="50" t="str">
        <f t="shared" si="782"/>
        <v>LT 3</v>
      </c>
      <c r="K354" s="84">
        <f>'HKL2180'!Q26</f>
        <v>7036.3</v>
      </c>
      <c r="L354" s="84">
        <f>'HKL2180'!P26</f>
        <v>7166.4</v>
      </c>
      <c r="M354" s="84">
        <f>M353</f>
        <v>1</v>
      </c>
      <c r="N354" s="84">
        <f t="shared" ref="N354" si="783">(L354-K354)*M354</f>
        <v>130.09999999999945</v>
      </c>
      <c r="O354" s="84">
        <f>'HKL2180'!F26</f>
        <v>2088.4</v>
      </c>
      <c r="P354" s="84">
        <f>'HKL2180'!E26</f>
        <v>2220.6</v>
      </c>
      <c r="Q354" s="84">
        <f t="shared" si="758"/>
        <v>1</v>
      </c>
      <c r="R354" s="84">
        <f t="shared" ref="R354" si="784">(P354-O354)*Q354</f>
        <v>132.19999999999982</v>
      </c>
      <c r="S354" s="84">
        <f>'HKL2180'!K26</f>
        <v>2422.3000000000002</v>
      </c>
      <c r="T354" s="84">
        <f>'HKL2180'!J26</f>
        <v>2462.1</v>
      </c>
      <c r="U354" s="84">
        <f>U353</f>
        <v>1</v>
      </c>
      <c r="V354" s="84">
        <f t="shared" ref="V354" si="785">(T354-S354)*U354</f>
        <v>39.799999999999727</v>
      </c>
      <c r="W354" s="84"/>
      <c r="X354" s="84"/>
      <c r="Y354" s="85">
        <f t="shared" ref="Y354" si="786">N354/30/I354</f>
        <v>1.4455555555555495</v>
      </c>
      <c r="Z354" s="84"/>
      <c r="AA354" s="82"/>
    </row>
    <row r="355" spans="1:27" s="40" customFormat="1" ht="39.950000000000003" hidden="1" customHeight="1" x14ac:dyDescent="0.25">
      <c r="A355" s="49">
        <v>20</v>
      </c>
      <c r="B355" s="50" t="str">
        <f t="shared" ref="B355:J358" si="787">B354</f>
        <v>H D Kote</v>
      </c>
      <c r="C355" s="50" t="str">
        <f t="shared" si="787"/>
        <v>HDKOTE/1714</v>
      </c>
      <c r="D355" s="50" t="str">
        <f t="shared" si="787"/>
        <v>AGRICULTURE OFFICE</v>
      </c>
      <c r="E355" s="50" t="str">
        <f t="shared" si="787"/>
        <v>HKL2180</v>
      </c>
      <c r="F355" s="50">
        <f t="shared" si="787"/>
        <v>2.82</v>
      </c>
      <c r="G355" s="50" t="str">
        <f t="shared" si="787"/>
        <v>GOVT</v>
      </c>
      <c r="H355" s="50" t="str">
        <f t="shared" si="787"/>
        <v>IPDS</v>
      </c>
      <c r="I355" s="50">
        <f t="shared" si="787"/>
        <v>3</v>
      </c>
      <c r="J355" s="50" t="str">
        <f t="shared" si="787"/>
        <v>LT 3</v>
      </c>
      <c r="K355" s="84">
        <f>'HKL2180'!Q27</f>
        <v>7166.4</v>
      </c>
      <c r="L355" s="84">
        <f>'HKL2180'!P27</f>
        <v>7297</v>
      </c>
      <c r="M355" s="84">
        <f>M354</f>
        <v>1</v>
      </c>
      <c r="N355" s="84">
        <f t="shared" ref="N355" si="788">(L355-K355)*M355</f>
        <v>130.60000000000036</v>
      </c>
      <c r="O355" s="84">
        <f>'HKL2180'!F27</f>
        <v>2220.6</v>
      </c>
      <c r="P355" s="84">
        <f>'HKL2180'!E27</f>
        <v>2347.3000000000002</v>
      </c>
      <c r="Q355" s="84">
        <f t="shared" si="758"/>
        <v>1</v>
      </c>
      <c r="R355" s="84">
        <f t="shared" ref="R355" si="789">(P355-O355)*Q355</f>
        <v>126.70000000000027</v>
      </c>
      <c r="S355" s="84">
        <f>'HKL2180'!K27</f>
        <v>2462.1</v>
      </c>
      <c r="T355" s="84">
        <f>'HKL2180'!J27</f>
        <v>2497.1</v>
      </c>
      <c r="U355" s="84">
        <f>U354</f>
        <v>1</v>
      </c>
      <c r="V355" s="84">
        <f t="shared" ref="V355" si="790">(T355-S355)*U355</f>
        <v>35</v>
      </c>
      <c r="W355" s="84"/>
      <c r="X355" s="84"/>
      <c r="Y355" s="85">
        <f t="shared" ref="Y355" si="791">N355/30/I355</f>
        <v>1.451111111111115</v>
      </c>
      <c r="Z355" s="84"/>
      <c r="AA355" s="82"/>
    </row>
    <row r="356" spans="1:27" s="40" customFormat="1" ht="39.950000000000003" hidden="1" customHeight="1" x14ac:dyDescent="0.25">
      <c r="A356" s="49">
        <v>21</v>
      </c>
      <c r="B356" s="50" t="str">
        <f t="shared" ref="B356:J356" si="792">B355</f>
        <v>H D Kote</v>
      </c>
      <c r="C356" s="50" t="str">
        <f t="shared" si="792"/>
        <v>HDKOTE/1714</v>
      </c>
      <c r="D356" s="50" t="str">
        <f t="shared" si="792"/>
        <v>AGRICULTURE OFFICE</v>
      </c>
      <c r="E356" s="50" t="str">
        <f t="shared" si="792"/>
        <v>HKL2180</v>
      </c>
      <c r="F356" s="50">
        <f t="shared" si="792"/>
        <v>2.82</v>
      </c>
      <c r="G356" s="50" t="str">
        <f t="shared" si="792"/>
        <v>GOVT</v>
      </c>
      <c r="H356" s="50" t="str">
        <f t="shared" si="792"/>
        <v>IPDS</v>
      </c>
      <c r="I356" s="50">
        <f t="shared" si="792"/>
        <v>3</v>
      </c>
      <c r="J356" s="50" t="str">
        <f t="shared" si="792"/>
        <v>LT 3</v>
      </c>
      <c r="K356" s="84">
        <f>'HKL2180'!Q28</f>
        <v>7297</v>
      </c>
      <c r="L356" s="84">
        <f>'HKL2180'!P28</f>
        <v>7458.3</v>
      </c>
      <c r="M356" s="84">
        <f t="shared" ref="M356" si="793">M355</f>
        <v>1</v>
      </c>
      <c r="N356" s="84">
        <f t="shared" si="772"/>
        <v>161.30000000000018</v>
      </c>
      <c r="O356" s="84">
        <f>'HKL2180'!F28</f>
        <v>2347.3000000000002</v>
      </c>
      <c r="P356" s="84">
        <f>'HKL2180'!E28</f>
        <v>2463.4</v>
      </c>
      <c r="Q356" s="84">
        <f t="shared" si="758"/>
        <v>1</v>
      </c>
      <c r="R356" s="84">
        <f t="shared" si="773"/>
        <v>116.09999999999991</v>
      </c>
      <c r="S356" s="84">
        <f>'HKL2180'!K28</f>
        <v>2497.1</v>
      </c>
      <c r="T356" s="84">
        <f>'HKL2180'!J28</f>
        <v>2542.9</v>
      </c>
      <c r="U356" s="84">
        <f t="shared" ref="U356" si="794">U355</f>
        <v>1</v>
      </c>
      <c r="V356" s="84">
        <f t="shared" si="775"/>
        <v>45.800000000000182</v>
      </c>
      <c r="W356" s="84"/>
      <c r="X356" s="84"/>
      <c r="Y356" s="85">
        <f t="shared" si="776"/>
        <v>1.7922222222222244</v>
      </c>
      <c r="Z356" s="84"/>
      <c r="AA356" s="82"/>
    </row>
    <row r="357" spans="1:27" s="40" customFormat="1" ht="39.950000000000003" hidden="1" customHeight="1" x14ac:dyDescent="0.25">
      <c r="A357" s="49">
        <v>22</v>
      </c>
      <c r="B357" s="50" t="str">
        <f t="shared" si="787"/>
        <v>H D Kote</v>
      </c>
      <c r="C357" s="50" t="str">
        <f t="shared" si="787"/>
        <v>HDKOTE/1714</v>
      </c>
      <c r="D357" s="50" t="str">
        <f t="shared" si="787"/>
        <v>AGRICULTURE OFFICE</v>
      </c>
      <c r="E357" s="50" t="str">
        <f t="shared" si="787"/>
        <v>HKL2180</v>
      </c>
      <c r="F357" s="50">
        <f t="shared" si="787"/>
        <v>2.82</v>
      </c>
      <c r="G357" s="50" t="str">
        <f t="shared" si="787"/>
        <v>GOVT</v>
      </c>
      <c r="H357" s="50" t="str">
        <f t="shared" si="787"/>
        <v>IPDS</v>
      </c>
      <c r="I357" s="50">
        <f t="shared" si="787"/>
        <v>3</v>
      </c>
      <c r="J357" s="50" t="str">
        <f t="shared" si="787"/>
        <v>LT 3</v>
      </c>
      <c r="K357" s="84">
        <f>'HKL2180'!Q29</f>
        <v>7458.3</v>
      </c>
      <c r="L357" s="84">
        <f>'HKL2180'!P29</f>
        <v>7685.8</v>
      </c>
      <c r="M357" s="84">
        <f>M356</f>
        <v>1</v>
      </c>
      <c r="N357" s="84">
        <f t="shared" si="772"/>
        <v>227.5</v>
      </c>
      <c r="O357" s="84">
        <f>'HKL2180'!F29</f>
        <v>2463.4</v>
      </c>
      <c r="P357" s="84">
        <f>'HKL2180'!E29</f>
        <v>2643.4</v>
      </c>
      <c r="Q357" s="84">
        <f t="shared" si="758"/>
        <v>1</v>
      </c>
      <c r="R357" s="84">
        <f t="shared" si="773"/>
        <v>180</v>
      </c>
      <c r="S357" s="84">
        <f>'HKL2180'!K29</f>
        <v>2542.9</v>
      </c>
      <c r="T357" s="84">
        <f>'HKL2180'!J29</f>
        <v>2615.8000000000002</v>
      </c>
      <c r="U357" s="84">
        <f>U356</f>
        <v>1</v>
      </c>
      <c r="V357" s="84">
        <f t="shared" si="775"/>
        <v>72.900000000000091</v>
      </c>
      <c r="W357" s="84"/>
      <c r="X357" s="84"/>
      <c r="Y357" s="85">
        <f t="shared" si="776"/>
        <v>2.5277777777777777</v>
      </c>
      <c r="Z357" s="84"/>
      <c r="AA357" s="82"/>
    </row>
    <row r="358" spans="1:27" s="40" customFormat="1" ht="39.950000000000003" hidden="1" customHeight="1" x14ac:dyDescent="0.25">
      <c r="A358" s="49">
        <v>23</v>
      </c>
      <c r="B358" s="50" t="str">
        <f t="shared" si="787"/>
        <v>H D Kote</v>
      </c>
      <c r="C358" s="50" t="str">
        <f t="shared" si="787"/>
        <v>HDKOTE/1714</v>
      </c>
      <c r="D358" s="50" t="str">
        <f t="shared" si="787"/>
        <v>AGRICULTURE OFFICE</v>
      </c>
      <c r="E358" s="50" t="str">
        <f t="shared" si="787"/>
        <v>HKL2180</v>
      </c>
      <c r="F358" s="50">
        <f t="shared" si="787"/>
        <v>2.82</v>
      </c>
      <c r="G358" s="50" t="str">
        <f t="shared" si="787"/>
        <v>GOVT</v>
      </c>
      <c r="H358" s="50" t="str">
        <f t="shared" si="787"/>
        <v>IPDS</v>
      </c>
      <c r="I358" s="50">
        <f t="shared" si="787"/>
        <v>3</v>
      </c>
      <c r="J358" s="50" t="str">
        <f t="shared" si="787"/>
        <v>LT 3</v>
      </c>
      <c r="K358" s="84">
        <f>'HKL2180'!Q31</f>
        <v>7685.8</v>
      </c>
      <c r="L358" s="84">
        <f>'HKL2180'!P31</f>
        <v>7913.8</v>
      </c>
      <c r="M358" s="84">
        <f>M357</f>
        <v>1</v>
      </c>
      <c r="N358" s="84">
        <f t="shared" si="772"/>
        <v>228</v>
      </c>
      <c r="O358" s="84">
        <f>'HKL2180'!F31</f>
        <v>2643.4</v>
      </c>
      <c r="P358" s="84">
        <f>'HKL2180'!E31</f>
        <v>2821.4</v>
      </c>
      <c r="Q358" s="84">
        <f t="shared" si="758"/>
        <v>1</v>
      </c>
      <c r="R358" s="84">
        <f t="shared" si="773"/>
        <v>178</v>
      </c>
      <c r="S358" s="84">
        <f>'HKL2180'!K31</f>
        <v>2615.8000000000002</v>
      </c>
      <c r="T358" s="84">
        <f>'HKL2180'!J31</f>
        <v>2688.8</v>
      </c>
      <c r="U358" s="84">
        <f>U357</f>
        <v>1</v>
      </c>
      <c r="V358" s="84">
        <f t="shared" si="775"/>
        <v>73</v>
      </c>
      <c r="W358" s="84"/>
      <c r="X358" s="84"/>
      <c r="Y358" s="85">
        <f t="shared" si="776"/>
        <v>2.5333333333333332</v>
      </c>
      <c r="Z358" s="84"/>
      <c r="AA358" s="82"/>
    </row>
    <row r="359" spans="1:27" s="40" customFormat="1" ht="39.950000000000003" hidden="1" customHeight="1" x14ac:dyDescent="0.25">
      <c r="A359" s="49">
        <v>24</v>
      </c>
      <c r="B359" s="50" t="str">
        <f t="shared" ref="B359:J359" si="795">B358</f>
        <v>H D Kote</v>
      </c>
      <c r="C359" s="50" t="str">
        <f t="shared" si="795"/>
        <v>HDKOTE/1714</v>
      </c>
      <c r="D359" s="50" t="str">
        <f t="shared" si="795"/>
        <v>AGRICULTURE OFFICE</v>
      </c>
      <c r="E359" s="50" t="str">
        <f t="shared" si="795"/>
        <v>HKL2180</v>
      </c>
      <c r="F359" s="50">
        <f t="shared" si="795"/>
        <v>2.82</v>
      </c>
      <c r="G359" s="50" t="str">
        <f t="shared" si="795"/>
        <v>GOVT</v>
      </c>
      <c r="H359" s="50" t="str">
        <f t="shared" si="795"/>
        <v>IPDS</v>
      </c>
      <c r="I359" s="50">
        <f t="shared" si="795"/>
        <v>3</v>
      </c>
      <c r="J359" s="50" t="str">
        <f t="shared" si="795"/>
        <v>LT 3</v>
      </c>
      <c r="K359" s="84">
        <f>'HKL2180'!Q32</f>
        <v>7913.8</v>
      </c>
      <c r="L359" s="84">
        <f>'HKL2180'!P32</f>
        <v>8168</v>
      </c>
      <c r="M359" s="84">
        <f>M358</f>
        <v>1</v>
      </c>
      <c r="N359" s="84">
        <f t="shared" ref="N359:N363" si="796">(L359-K359)*M359</f>
        <v>254.19999999999982</v>
      </c>
      <c r="O359" s="84">
        <f>'HKL2180'!F32</f>
        <v>2821.4</v>
      </c>
      <c r="P359" s="84">
        <f>'HKL2180'!E32</f>
        <v>2851.2</v>
      </c>
      <c r="Q359" s="84">
        <f t="shared" si="758"/>
        <v>1</v>
      </c>
      <c r="R359" s="84">
        <f t="shared" ref="R359:R363" si="797">(P359-O359)*Q359</f>
        <v>29.799999999999727</v>
      </c>
      <c r="S359" s="84">
        <f>'HKL2180'!K32</f>
        <v>2688.8</v>
      </c>
      <c r="T359" s="84">
        <f>'HKL2180'!J32</f>
        <v>2870.6</v>
      </c>
      <c r="U359" s="84">
        <f>U358</f>
        <v>1</v>
      </c>
      <c r="V359" s="84">
        <f t="shared" ref="V359:V363" si="798">(T359-S359)*U359</f>
        <v>181.79999999999973</v>
      </c>
      <c r="W359" s="84"/>
      <c r="X359" s="84"/>
      <c r="Y359" s="85">
        <f t="shared" ref="Y359:Y363" si="799">N359/30/I359</f>
        <v>2.8244444444444423</v>
      </c>
      <c r="Z359" s="84"/>
      <c r="AA359" s="82"/>
    </row>
    <row r="360" spans="1:27" s="40" customFormat="1" ht="39.950000000000003" hidden="1" customHeight="1" x14ac:dyDescent="0.25">
      <c r="A360" s="49">
        <v>25</v>
      </c>
      <c r="B360" s="50" t="str">
        <f t="shared" ref="B360:J360" si="800">B359</f>
        <v>H D Kote</v>
      </c>
      <c r="C360" s="50" t="str">
        <f t="shared" si="800"/>
        <v>HDKOTE/1714</v>
      </c>
      <c r="D360" s="50" t="str">
        <f t="shared" si="800"/>
        <v>AGRICULTURE OFFICE</v>
      </c>
      <c r="E360" s="50" t="str">
        <f t="shared" si="800"/>
        <v>HKL2180</v>
      </c>
      <c r="F360" s="50">
        <f t="shared" si="800"/>
        <v>2.82</v>
      </c>
      <c r="G360" s="50" t="str">
        <f t="shared" si="800"/>
        <v>GOVT</v>
      </c>
      <c r="H360" s="50" t="str">
        <f t="shared" si="800"/>
        <v>IPDS</v>
      </c>
      <c r="I360" s="50">
        <f t="shared" si="800"/>
        <v>3</v>
      </c>
      <c r="J360" s="50" t="str">
        <f t="shared" si="800"/>
        <v>LT 3</v>
      </c>
      <c r="K360" s="84">
        <f>'HKL2180'!Q33</f>
        <v>8168</v>
      </c>
      <c r="L360" s="84">
        <f>'HKL2180'!P33</f>
        <v>8387.1</v>
      </c>
      <c r="M360" s="84">
        <f>M359</f>
        <v>1</v>
      </c>
      <c r="N360" s="84">
        <f t="shared" si="796"/>
        <v>219.10000000000036</v>
      </c>
      <c r="O360" s="84">
        <f>'HKL2180'!F33</f>
        <v>2851.2</v>
      </c>
      <c r="P360" s="84">
        <f>'HKL2180'!E33</f>
        <v>2966.6</v>
      </c>
      <c r="Q360" s="84">
        <f t="shared" si="758"/>
        <v>1</v>
      </c>
      <c r="R360" s="84">
        <f t="shared" si="797"/>
        <v>115.40000000000009</v>
      </c>
      <c r="S360" s="84">
        <f>'HKL2180'!K33</f>
        <v>2870.6</v>
      </c>
      <c r="T360" s="84">
        <f>'HKL2180'!J33</f>
        <v>2978.6</v>
      </c>
      <c r="U360" s="84">
        <f>U359</f>
        <v>1</v>
      </c>
      <c r="V360" s="84">
        <f t="shared" si="798"/>
        <v>108</v>
      </c>
      <c r="W360" s="84"/>
      <c r="X360" s="84"/>
      <c r="Y360" s="85">
        <f t="shared" si="799"/>
        <v>2.4344444444444484</v>
      </c>
      <c r="Z360" s="84"/>
      <c r="AA360" s="82"/>
    </row>
    <row r="361" spans="1:27" s="40" customFormat="1" ht="39.950000000000003" hidden="1" customHeight="1" x14ac:dyDescent="0.25">
      <c r="A361" s="49">
        <v>26</v>
      </c>
      <c r="B361" s="50" t="str">
        <f t="shared" ref="B361:J361" si="801">B360</f>
        <v>H D Kote</v>
      </c>
      <c r="C361" s="50" t="str">
        <f t="shared" si="801"/>
        <v>HDKOTE/1714</v>
      </c>
      <c r="D361" s="50" t="str">
        <f t="shared" si="801"/>
        <v>AGRICULTURE OFFICE</v>
      </c>
      <c r="E361" s="50" t="str">
        <f t="shared" si="801"/>
        <v>HKL2180</v>
      </c>
      <c r="F361" s="50">
        <f t="shared" si="801"/>
        <v>2.82</v>
      </c>
      <c r="G361" s="50" t="str">
        <f t="shared" si="801"/>
        <v>GOVT</v>
      </c>
      <c r="H361" s="50" t="str">
        <f t="shared" si="801"/>
        <v>IPDS</v>
      </c>
      <c r="I361" s="50">
        <f t="shared" si="801"/>
        <v>3</v>
      </c>
      <c r="J361" s="50" t="str">
        <f t="shared" si="801"/>
        <v>LT 3</v>
      </c>
      <c r="K361" s="84">
        <f>'HKL2180'!Q34</f>
        <v>8387.1</v>
      </c>
      <c r="L361" s="84">
        <f>'HKL2180'!P34</f>
        <v>8582.1</v>
      </c>
      <c r="M361" s="84">
        <f t="shared" ref="M361:M368" si="802">M360</f>
        <v>1</v>
      </c>
      <c r="N361" s="84">
        <f t="shared" si="796"/>
        <v>195</v>
      </c>
      <c r="O361" s="84">
        <f>'HKL2180'!F34</f>
        <v>2966.6</v>
      </c>
      <c r="P361" s="84">
        <f>'HKL2180'!E34</f>
        <v>3110.1</v>
      </c>
      <c r="Q361" s="84">
        <f t="shared" si="758"/>
        <v>1</v>
      </c>
      <c r="R361" s="84">
        <f t="shared" si="797"/>
        <v>143.5</v>
      </c>
      <c r="S361" s="84">
        <f>'HKL2180'!K34</f>
        <v>2978.6</v>
      </c>
      <c r="T361" s="84">
        <f>'HKL2180'!J34</f>
        <v>3059.4</v>
      </c>
      <c r="U361" s="84">
        <f t="shared" ref="U361:U368" si="803">U360</f>
        <v>1</v>
      </c>
      <c r="V361" s="84">
        <f t="shared" si="798"/>
        <v>80.800000000000182</v>
      </c>
      <c r="W361" s="84"/>
      <c r="X361" s="84"/>
      <c r="Y361" s="85">
        <f t="shared" si="799"/>
        <v>2.1666666666666665</v>
      </c>
      <c r="Z361" s="84"/>
      <c r="AA361" s="82"/>
    </row>
    <row r="362" spans="1:27" s="40" customFormat="1" ht="39.950000000000003" hidden="1" customHeight="1" x14ac:dyDescent="0.25">
      <c r="A362" s="49">
        <v>27</v>
      </c>
      <c r="B362" s="50" t="str">
        <f t="shared" ref="B362:J362" si="804">B361</f>
        <v>H D Kote</v>
      </c>
      <c r="C362" s="50" t="str">
        <f t="shared" si="804"/>
        <v>HDKOTE/1714</v>
      </c>
      <c r="D362" s="50" t="str">
        <f t="shared" si="804"/>
        <v>AGRICULTURE OFFICE</v>
      </c>
      <c r="E362" s="50" t="str">
        <f t="shared" si="804"/>
        <v>HKL2180</v>
      </c>
      <c r="F362" s="50">
        <f t="shared" si="804"/>
        <v>2.82</v>
      </c>
      <c r="G362" s="50" t="str">
        <f t="shared" si="804"/>
        <v>GOVT</v>
      </c>
      <c r="H362" s="50" t="str">
        <f t="shared" si="804"/>
        <v>IPDS</v>
      </c>
      <c r="I362" s="50">
        <f t="shared" si="804"/>
        <v>3</v>
      </c>
      <c r="J362" s="50" t="str">
        <f t="shared" si="804"/>
        <v>LT 3</v>
      </c>
      <c r="K362" s="84">
        <f>'HKL2180'!Q35</f>
        <v>8582.1</v>
      </c>
      <c r="L362" s="84">
        <f>'HKL2180'!P35</f>
        <v>8812.5</v>
      </c>
      <c r="M362" s="84">
        <f t="shared" si="802"/>
        <v>1</v>
      </c>
      <c r="N362" s="84">
        <f t="shared" si="796"/>
        <v>230.39999999999964</v>
      </c>
      <c r="O362" s="84">
        <f>'HKL2180'!F35</f>
        <v>3110.1</v>
      </c>
      <c r="P362" s="84">
        <f>'HKL2180'!E35</f>
        <v>3268.8</v>
      </c>
      <c r="Q362" s="84">
        <f t="shared" si="758"/>
        <v>1</v>
      </c>
      <c r="R362" s="84">
        <f t="shared" si="797"/>
        <v>158.70000000000027</v>
      </c>
      <c r="S362" s="84">
        <f>'HKL2180'!K35</f>
        <v>3059.4</v>
      </c>
      <c r="T362" s="84">
        <f>'HKL2180'!J35</f>
        <v>3154.3</v>
      </c>
      <c r="U362" s="84">
        <f t="shared" si="803"/>
        <v>1</v>
      </c>
      <c r="V362" s="84">
        <f t="shared" si="798"/>
        <v>94.900000000000091</v>
      </c>
      <c r="W362" s="84"/>
      <c r="X362" s="84"/>
      <c r="Y362" s="85">
        <f t="shared" si="799"/>
        <v>2.5599999999999961</v>
      </c>
      <c r="Z362" s="84"/>
      <c r="AA362" s="82"/>
    </row>
    <row r="363" spans="1:27" s="40" customFormat="1" ht="39.950000000000003" hidden="1" customHeight="1" x14ac:dyDescent="0.25">
      <c r="A363" s="49">
        <v>28</v>
      </c>
      <c r="B363" s="50" t="str">
        <f t="shared" ref="B363:J365" si="805">B362</f>
        <v>H D Kote</v>
      </c>
      <c r="C363" s="50" t="str">
        <f t="shared" si="805"/>
        <v>HDKOTE/1714</v>
      </c>
      <c r="D363" s="50" t="str">
        <f t="shared" si="805"/>
        <v>AGRICULTURE OFFICE</v>
      </c>
      <c r="E363" s="50" t="str">
        <f t="shared" si="805"/>
        <v>HKL2180</v>
      </c>
      <c r="F363" s="50">
        <f t="shared" si="805"/>
        <v>2.82</v>
      </c>
      <c r="G363" s="50" t="str">
        <f t="shared" si="805"/>
        <v>GOVT</v>
      </c>
      <c r="H363" s="50" t="str">
        <f t="shared" si="805"/>
        <v>IPDS</v>
      </c>
      <c r="I363" s="50">
        <f t="shared" si="805"/>
        <v>3</v>
      </c>
      <c r="J363" s="50" t="str">
        <f t="shared" si="805"/>
        <v>LT 3</v>
      </c>
      <c r="K363" s="84">
        <f>'HKL2180'!Q36</f>
        <v>8812.5</v>
      </c>
      <c r="L363" s="84">
        <f>'HKL2180'!P36</f>
        <v>9052.1</v>
      </c>
      <c r="M363" s="84">
        <f t="shared" si="802"/>
        <v>1</v>
      </c>
      <c r="N363" s="84">
        <f t="shared" si="796"/>
        <v>239.60000000000036</v>
      </c>
      <c r="O363" s="84">
        <f>'HKL2180'!F36</f>
        <v>3268.8</v>
      </c>
      <c r="P363" s="84">
        <f>'HKL2180'!E36</f>
        <v>3400.5</v>
      </c>
      <c r="Q363" s="84">
        <f t="shared" si="758"/>
        <v>1</v>
      </c>
      <c r="R363" s="84">
        <f t="shared" si="797"/>
        <v>131.69999999999982</v>
      </c>
      <c r="S363" s="84">
        <f>'HKL2180'!K36</f>
        <v>3154.3</v>
      </c>
      <c r="T363" s="84">
        <f>'HKL2180'!J36</f>
        <v>3274.1</v>
      </c>
      <c r="U363" s="84">
        <f t="shared" si="803"/>
        <v>1</v>
      </c>
      <c r="V363" s="84">
        <f t="shared" si="798"/>
        <v>119.79999999999973</v>
      </c>
      <c r="W363" s="84">
        <f>'HKL2180'!U36</f>
        <v>1.43</v>
      </c>
      <c r="X363" s="84">
        <f>'HKL2180'!V36</f>
        <v>0.92</v>
      </c>
      <c r="Y363" s="85">
        <f t="shared" si="799"/>
        <v>2.6622222222222263</v>
      </c>
      <c r="Z363" s="84"/>
      <c r="AA363" s="82"/>
    </row>
    <row r="364" spans="1:27" s="40" customFormat="1" ht="39.950000000000003" hidden="1" customHeight="1" x14ac:dyDescent="0.25">
      <c r="A364" s="49">
        <v>29</v>
      </c>
      <c r="B364" s="50" t="str">
        <f t="shared" ref="B364:J364" si="806">B363</f>
        <v>H D Kote</v>
      </c>
      <c r="C364" s="50" t="str">
        <f t="shared" si="806"/>
        <v>HDKOTE/1714</v>
      </c>
      <c r="D364" s="50" t="str">
        <f t="shared" si="806"/>
        <v>AGRICULTURE OFFICE</v>
      </c>
      <c r="E364" s="50" t="str">
        <f t="shared" si="806"/>
        <v>HKL2180</v>
      </c>
      <c r="F364" s="50">
        <f t="shared" si="806"/>
        <v>2.82</v>
      </c>
      <c r="G364" s="50" t="str">
        <f t="shared" si="806"/>
        <v>GOVT</v>
      </c>
      <c r="H364" s="50" t="str">
        <f t="shared" si="806"/>
        <v>IPDS</v>
      </c>
      <c r="I364" s="50">
        <f t="shared" si="806"/>
        <v>3</v>
      </c>
      <c r="J364" s="50" t="str">
        <f t="shared" si="806"/>
        <v>LT 3</v>
      </c>
      <c r="K364" s="84">
        <f>'HKL2180'!Q37</f>
        <v>9052.1</v>
      </c>
      <c r="L364" s="84">
        <f>'HKL2180'!P37</f>
        <v>9326.1</v>
      </c>
      <c r="M364" s="84">
        <f t="shared" si="802"/>
        <v>1</v>
      </c>
      <c r="N364" s="84">
        <f t="shared" ref="N364:N368" si="807">(L364-K364)*M364</f>
        <v>274</v>
      </c>
      <c r="O364" s="84">
        <f>'HKL2180'!F37</f>
        <v>3400.5</v>
      </c>
      <c r="P364" s="84">
        <f>'HKL2180'!E37</f>
        <v>3530.6</v>
      </c>
      <c r="Q364" s="84">
        <f t="shared" si="758"/>
        <v>1</v>
      </c>
      <c r="R364" s="84">
        <f t="shared" ref="R364:R368" si="808">(P364-O364)*Q364</f>
        <v>130.09999999999991</v>
      </c>
      <c r="S364" s="84">
        <f>'HKL2180'!K37</f>
        <v>3274.1</v>
      </c>
      <c r="T364" s="84">
        <f>'HKL2180'!J37</f>
        <v>3403.4</v>
      </c>
      <c r="U364" s="84">
        <f t="shared" si="803"/>
        <v>1</v>
      </c>
      <c r="V364" s="84">
        <f t="shared" ref="V364:V368" si="809">(T364-S364)*U364</f>
        <v>129.30000000000018</v>
      </c>
      <c r="W364" s="84">
        <f>'HKL2180'!U37</f>
        <v>1.06</v>
      </c>
      <c r="X364" s="84">
        <f>'HKL2180'!V37</f>
        <v>0.91</v>
      </c>
      <c r="Y364" s="85">
        <f t="shared" ref="Y364:Y368" si="810">N364/30/I364</f>
        <v>3.0444444444444443</v>
      </c>
      <c r="Z364" s="84"/>
      <c r="AA364" s="82"/>
    </row>
    <row r="365" spans="1:27" s="40" customFormat="1" ht="39.950000000000003" customHeight="1" x14ac:dyDescent="0.25">
      <c r="A365" s="49">
        <v>30</v>
      </c>
      <c r="B365" s="50" t="str">
        <f t="shared" si="805"/>
        <v>H D Kote</v>
      </c>
      <c r="C365" s="50" t="str">
        <f t="shared" si="805"/>
        <v>HDKOTE/1714</v>
      </c>
      <c r="D365" s="50" t="str">
        <f t="shared" si="805"/>
        <v>AGRICULTURE OFFICE</v>
      </c>
      <c r="E365" s="50" t="str">
        <f t="shared" si="805"/>
        <v>HKL2180</v>
      </c>
      <c r="F365" s="50">
        <f t="shared" si="805"/>
        <v>2.82</v>
      </c>
      <c r="G365" s="50" t="str">
        <f t="shared" si="805"/>
        <v>GOVT</v>
      </c>
      <c r="H365" s="50" t="str">
        <f t="shared" si="805"/>
        <v>IPDS</v>
      </c>
      <c r="I365" s="50">
        <f t="shared" si="805"/>
        <v>3</v>
      </c>
      <c r="J365" s="50" t="str">
        <f t="shared" si="805"/>
        <v>LT 3</v>
      </c>
      <c r="K365" s="84">
        <f>'HKL2180'!Q38</f>
        <v>9326.1</v>
      </c>
      <c r="L365" s="84">
        <f>'HKL2180'!P38</f>
        <v>9479.1</v>
      </c>
      <c r="M365" s="84">
        <f t="shared" si="802"/>
        <v>1</v>
      </c>
      <c r="N365" s="84">
        <f t="shared" si="807"/>
        <v>153</v>
      </c>
      <c r="O365" s="84">
        <f>'HKL2180'!F38</f>
        <v>3530.6</v>
      </c>
      <c r="P365" s="84">
        <f>'HKL2180'!E38</f>
        <v>3683.2</v>
      </c>
      <c r="Q365" s="84">
        <f t="shared" si="758"/>
        <v>1</v>
      </c>
      <c r="R365" s="84">
        <f t="shared" si="808"/>
        <v>152.59999999999991</v>
      </c>
      <c r="S365" s="84">
        <f>'HKL2180'!K38</f>
        <v>3403.4</v>
      </c>
      <c r="T365" s="84">
        <f>'HKL2180'!J38</f>
        <v>3482.3</v>
      </c>
      <c r="U365" s="84">
        <f t="shared" si="803"/>
        <v>1</v>
      </c>
      <c r="V365" s="84">
        <f t="shared" si="809"/>
        <v>78.900000000000091</v>
      </c>
      <c r="W365" s="84">
        <f>'HKL2180'!U38</f>
        <v>1.02</v>
      </c>
      <c r="X365" s="84">
        <f>'HKL2180'!V38</f>
        <v>0.98</v>
      </c>
      <c r="Y365" s="85">
        <f t="shared" si="810"/>
        <v>1.7</v>
      </c>
      <c r="Z365" s="84"/>
      <c r="AA365" s="82"/>
    </row>
    <row r="366" spans="1:27" s="40" customFormat="1" ht="39.950000000000003" hidden="1" customHeight="1" x14ac:dyDescent="0.25">
      <c r="A366" s="49">
        <v>31</v>
      </c>
      <c r="B366" s="50" t="str">
        <f t="shared" ref="B366:J366" si="811">B365</f>
        <v>H D Kote</v>
      </c>
      <c r="C366" s="50" t="str">
        <f t="shared" si="811"/>
        <v>HDKOTE/1714</v>
      </c>
      <c r="D366" s="50" t="str">
        <f t="shared" si="811"/>
        <v>AGRICULTURE OFFICE</v>
      </c>
      <c r="E366" s="50" t="str">
        <f t="shared" si="811"/>
        <v>HKL2180</v>
      </c>
      <c r="F366" s="50">
        <f t="shared" si="811"/>
        <v>2.82</v>
      </c>
      <c r="G366" s="50" t="str">
        <f t="shared" si="811"/>
        <v>GOVT</v>
      </c>
      <c r="H366" s="50" t="str">
        <f t="shared" si="811"/>
        <v>IPDS</v>
      </c>
      <c r="I366" s="50">
        <f t="shared" si="811"/>
        <v>3</v>
      </c>
      <c r="J366" s="50" t="str">
        <f t="shared" si="811"/>
        <v>LT 3</v>
      </c>
      <c r="K366" s="84">
        <f>'HKL2180'!Q39</f>
        <v>9479.1</v>
      </c>
      <c r="L366" s="84">
        <f>'HKL2180'!P39</f>
        <v>9714.1</v>
      </c>
      <c r="M366" s="84">
        <f t="shared" si="802"/>
        <v>1</v>
      </c>
      <c r="N366" s="84">
        <f t="shared" si="807"/>
        <v>235</v>
      </c>
      <c r="O366" s="84">
        <f>'HKL2180'!F39</f>
        <v>3683.2</v>
      </c>
      <c r="P366" s="84">
        <f>'HKL2180'!E39</f>
        <v>3833.8</v>
      </c>
      <c r="Q366" s="84">
        <f t="shared" si="758"/>
        <v>1</v>
      </c>
      <c r="R366" s="84">
        <f t="shared" si="808"/>
        <v>150.60000000000036</v>
      </c>
      <c r="S366" s="84">
        <f>'HKL2180'!K39</f>
        <v>3482.3</v>
      </c>
      <c r="T366" s="84">
        <f>'HKL2180'!J39</f>
        <v>3610.8</v>
      </c>
      <c r="U366" s="84">
        <f t="shared" si="803"/>
        <v>1</v>
      </c>
      <c r="V366" s="84">
        <f t="shared" si="809"/>
        <v>128.5</v>
      </c>
      <c r="W366" s="84"/>
      <c r="X366" s="84"/>
      <c r="Y366" s="85">
        <f t="shared" si="810"/>
        <v>2.6111111111111112</v>
      </c>
      <c r="Z366" s="84"/>
      <c r="AA366" s="82"/>
    </row>
    <row r="367" spans="1:27" s="40" customFormat="1" ht="39.950000000000003" hidden="1" customHeight="1" x14ac:dyDescent="0.25">
      <c r="A367" s="49">
        <v>32</v>
      </c>
      <c r="B367" s="50" t="str">
        <f t="shared" ref="B367:J367" si="812">B366</f>
        <v>H D Kote</v>
      </c>
      <c r="C367" s="50" t="str">
        <f t="shared" si="812"/>
        <v>HDKOTE/1714</v>
      </c>
      <c r="D367" s="50" t="str">
        <f t="shared" si="812"/>
        <v>AGRICULTURE OFFICE</v>
      </c>
      <c r="E367" s="50" t="str">
        <f t="shared" si="812"/>
        <v>HKL2180</v>
      </c>
      <c r="F367" s="50">
        <f t="shared" si="812"/>
        <v>2.82</v>
      </c>
      <c r="G367" s="50" t="str">
        <f t="shared" si="812"/>
        <v>GOVT</v>
      </c>
      <c r="H367" s="50" t="str">
        <f t="shared" si="812"/>
        <v>IPDS</v>
      </c>
      <c r="I367" s="50">
        <f t="shared" si="812"/>
        <v>3</v>
      </c>
      <c r="J367" s="50" t="str">
        <f t="shared" si="812"/>
        <v>LT 3</v>
      </c>
      <c r="K367" s="84">
        <f>'HKL2180'!Q40</f>
        <v>9714.1</v>
      </c>
      <c r="L367" s="84">
        <f>'HKL2180'!P40</f>
        <v>9978.2999999999993</v>
      </c>
      <c r="M367" s="84">
        <f t="shared" si="802"/>
        <v>1</v>
      </c>
      <c r="N367" s="84">
        <f t="shared" si="807"/>
        <v>264.19999999999891</v>
      </c>
      <c r="O367" s="84">
        <f>'HKL2180'!F40</f>
        <v>3833.8</v>
      </c>
      <c r="P367" s="84">
        <f>'HKL2180'!E40</f>
        <v>3975.8</v>
      </c>
      <c r="Q367" s="84">
        <f t="shared" si="758"/>
        <v>1</v>
      </c>
      <c r="R367" s="84">
        <f t="shared" si="808"/>
        <v>142</v>
      </c>
      <c r="S367" s="84">
        <f>'HKL2180'!K40</f>
        <v>3610.8</v>
      </c>
      <c r="T367" s="84">
        <f>'HKL2180'!J40</f>
        <v>3757.9</v>
      </c>
      <c r="U367" s="84">
        <f t="shared" si="803"/>
        <v>1</v>
      </c>
      <c r="V367" s="84">
        <f t="shared" si="809"/>
        <v>147.09999999999991</v>
      </c>
      <c r="W367" s="84"/>
      <c r="X367" s="84"/>
      <c r="Y367" s="85">
        <f t="shared" si="810"/>
        <v>2.9355555555555437</v>
      </c>
      <c r="Z367" s="84"/>
      <c r="AA367" s="82"/>
    </row>
    <row r="368" spans="1:27" s="40" customFormat="1" ht="39.950000000000003" hidden="1" customHeight="1" x14ac:dyDescent="0.25">
      <c r="A368" s="49">
        <v>33</v>
      </c>
      <c r="B368" s="50" t="str">
        <f t="shared" ref="B368:J368" si="813">B367</f>
        <v>H D Kote</v>
      </c>
      <c r="C368" s="50" t="str">
        <f t="shared" si="813"/>
        <v>HDKOTE/1714</v>
      </c>
      <c r="D368" s="50" t="str">
        <f t="shared" si="813"/>
        <v>AGRICULTURE OFFICE</v>
      </c>
      <c r="E368" s="50" t="str">
        <f t="shared" si="813"/>
        <v>HKL2180</v>
      </c>
      <c r="F368" s="50">
        <f t="shared" si="813"/>
        <v>2.82</v>
      </c>
      <c r="G368" s="50" t="str">
        <f t="shared" si="813"/>
        <v>GOVT</v>
      </c>
      <c r="H368" s="50" t="str">
        <f t="shared" si="813"/>
        <v>IPDS</v>
      </c>
      <c r="I368" s="50">
        <f t="shared" si="813"/>
        <v>3</v>
      </c>
      <c r="J368" s="50" t="str">
        <f t="shared" si="813"/>
        <v>LT 3</v>
      </c>
      <c r="K368" s="84">
        <f>'HKL2180'!Q41</f>
        <v>9978.2999999999993</v>
      </c>
      <c r="L368" s="84">
        <f>'HKL2180'!P41</f>
        <v>10238.4</v>
      </c>
      <c r="M368" s="84">
        <f t="shared" si="802"/>
        <v>1</v>
      </c>
      <c r="N368" s="84">
        <f t="shared" si="807"/>
        <v>260.10000000000036</v>
      </c>
      <c r="O368" s="84">
        <f>'HKL2180'!F41</f>
        <v>3975.8</v>
      </c>
      <c r="P368" s="84">
        <f>'HKL2180'!E41</f>
        <v>4104.3999999999996</v>
      </c>
      <c r="Q368" s="84">
        <f t="shared" si="758"/>
        <v>1</v>
      </c>
      <c r="R368" s="84">
        <f t="shared" si="808"/>
        <v>128.59999999999945</v>
      </c>
      <c r="S368" s="84">
        <f>'HKL2180'!K41</f>
        <v>3757.9</v>
      </c>
      <c r="T368" s="84">
        <f>'HKL2180'!J41</f>
        <v>3885.9</v>
      </c>
      <c r="U368" s="84">
        <f t="shared" si="803"/>
        <v>1</v>
      </c>
      <c r="V368" s="84">
        <f t="shared" si="809"/>
        <v>128</v>
      </c>
      <c r="W368" s="84"/>
      <c r="X368" s="84"/>
      <c r="Y368" s="85">
        <f t="shared" si="810"/>
        <v>2.8900000000000041</v>
      </c>
      <c r="Z368" s="84"/>
      <c r="AA368" s="82"/>
    </row>
    <row r="369" spans="1:27" s="40" customFormat="1" ht="39.950000000000003" hidden="1" customHeight="1" x14ac:dyDescent="0.25">
      <c r="A369" s="49"/>
      <c r="B369" s="50"/>
      <c r="C369" s="50"/>
      <c r="D369" s="50"/>
      <c r="E369" s="50"/>
      <c r="F369" s="50"/>
      <c r="G369" s="50"/>
      <c r="H369" s="50"/>
      <c r="I369" s="50"/>
      <c r="J369" s="50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5"/>
      <c r="Z369" s="84"/>
      <c r="AA369" s="82"/>
    </row>
    <row r="370" spans="1:27" s="40" customFormat="1" ht="39.950000000000003" hidden="1" customHeight="1" x14ac:dyDescent="0.25">
      <c r="A370" s="49">
        <v>1</v>
      </c>
      <c r="B370" s="50" t="s">
        <v>43</v>
      </c>
      <c r="C370" s="56" t="s">
        <v>229</v>
      </c>
      <c r="D370" s="51" t="s">
        <v>179</v>
      </c>
      <c r="E370" s="55" t="s">
        <v>180</v>
      </c>
      <c r="F370" s="50">
        <v>5</v>
      </c>
      <c r="G370" s="49" t="s">
        <v>221</v>
      </c>
      <c r="H370" s="64" t="s">
        <v>222</v>
      </c>
      <c r="I370" s="49">
        <v>3</v>
      </c>
      <c r="J370" s="49" t="s">
        <v>225</v>
      </c>
      <c r="K370" s="84">
        <f>HKAEH5!Q8</f>
        <v>142.9</v>
      </c>
      <c r="L370" s="84">
        <f>HKAEH5!P8</f>
        <v>371.8</v>
      </c>
      <c r="M370" s="84">
        <f>'[1]April-18'!M17</f>
        <v>1</v>
      </c>
      <c r="N370" s="84">
        <f t="shared" si="0"/>
        <v>228.9</v>
      </c>
      <c r="O370" s="84">
        <f>HKAEH5!F8</f>
        <v>262.8</v>
      </c>
      <c r="P370" s="84">
        <f>HKAEH5!E8</f>
        <v>597.6</v>
      </c>
      <c r="Q370" s="84">
        <v>1</v>
      </c>
      <c r="R370" s="84">
        <f t="shared" si="683"/>
        <v>334.8</v>
      </c>
      <c r="S370" s="84">
        <f>HKAEH5!K8</f>
        <v>80</v>
      </c>
      <c r="T370" s="84">
        <f>HKAEH5!J8</f>
        <v>181.6</v>
      </c>
      <c r="U370" s="84">
        <f>'[1]April-18'!U17</f>
        <v>1</v>
      </c>
      <c r="V370" s="84">
        <f t="shared" si="684"/>
        <v>101.6</v>
      </c>
      <c r="W370" s="84"/>
      <c r="X370" s="84"/>
      <c r="Y370" s="85">
        <f t="shared" si="87"/>
        <v>2.5433333333333334</v>
      </c>
      <c r="Z370" s="84"/>
      <c r="AA370" s="82" t="str">
        <f>HKAEH5!B8</f>
        <v>01.08.2019</v>
      </c>
    </row>
    <row r="371" spans="1:27" s="40" customFormat="1" ht="39.950000000000003" hidden="1" customHeight="1" x14ac:dyDescent="0.25">
      <c r="A371" s="49">
        <v>2</v>
      </c>
      <c r="B371" s="50" t="str">
        <f>B370</f>
        <v>H D Kote</v>
      </c>
      <c r="C371" s="50" t="str">
        <f t="shared" ref="C371:J372" si="814">C370</f>
        <v>HDKOTE/1714</v>
      </c>
      <c r="D371" s="50" t="str">
        <f t="shared" si="814"/>
        <v>DEVARAJ PRE-METRIC BOYS HOSTEL</v>
      </c>
      <c r="E371" s="50" t="str">
        <f t="shared" si="814"/>
        <v>HKAEH5</v>
      </c>
      <c r="F371" s="50">
        <f t="shared" si="814"/>
        <v>5</v>
      </c>
      <c r="G371" s="50" t="str">
        <f t="shared" si="814"/>
        <v>GOVT</v>
      </c>
      <c r="H371" s="50" t="str">
        <f t="shared" si="814"/>
        <v>IPDS</v>
      </c>
      <c r="I371" s="50">
        <f t="shared" si="814"/>
        <v>3</v>
      </c>
      <c r="J371" s="50" t="str">
        <f t="shared" si="814"/>
        <v>LT2</v>
      </c>
      <c r="K371" s="84">
        <f>HKAEH5!Q9</f>
        <v>371.8</v>
      </c>
      <c r="L371" s="84">
        <f>HKAEH5!P9</f>
        <v>560</v>
      </c>
      <c r="M371" s="84">
        <f>'[1]April-18'!M18</f>
        <v>1</v>
      </c>
      <c r="N371" s="84">
        <f t="shared" si="0"/>
        <v>188.2</v>
      </c>
      <c r="O371" s="84">
        <f>HKAEH5!F9</f>
        <v>597.6</v>
      </c>
      <c r="P371" s="84">
        <f>HKAEH5!E9</f>
        <v>960</v>
      </c>
      <c r="Q371" s="84">
        <f>Q370</f>
        <v>1</v>
      </c>
      <c r="R371" s="84">
        <f t="shared" si="683"/>
        <v>362.4</v>
      </c>
      <c r="S371" s="84">
        <f>HKAEH5!K9</f>
        <v>181.6</v>
      </c>
      <c r="T371" s="84">
        <f>HKAEH5!J9</f>
        <v>273</v>
      </c>
      <c r="U371" s="84">
        <f>'[1]April-18'!U18</f>
        <v>1</v>
      </c>
      <c r="V371" s="84">
        <f t="shared" si="684"/>
        <v>91.4</v>
      </c>
      <c r="W371" s="84"/>
      <c r="X371" s="84"/>
      <c r="Y371" s="85">
        <f t="shared" si="87"/>
        <v>2.0911111111111107</v>
      </c>
      <c r="Z371" s="84"/>
      <c r="AA371" s="82" t="str">
        <f>HKAEH5!B9</f>
        <v>01.09.2019</v>
      </c>
    </row>
    <row r="372" spans="1:27" s="40" customFormat="1" ht="39.950000000000003" hidden="1" customHeight="1" x14ac:dyDescent="0.25">
      <c r="A372" s="49">
        <v>3</v>
      </c>
      <c r="B372" s="50" t="str">
        <f>B371</f>
        <v>H D Kote</v>
      </c>
      <c r="C372" s="50" t="str">
        <f t="shared" si="814"/>
        <v>HDKOTE/1714</v>
      </c>
      <c r="D372" s="50" t="str">
        <f t="shared" si="814"/>
        <v>DEVARAJ PRE-METRIC BOYS HOSTEL</v>
      </c>
      <c r="E372" s="50" t="str">
        <f t="shared" si="814"/>
        <v>HKAEH5</v>
      </c>
      <c r="F372" s="50">
        <f t="shared" si="814"/>
        <v>5</v>
      </c>
      <c r="G372" s="50" t="str">
        <f t="shared" si="814"/>
        <v>GOVT</v>
      </c>
      <c r="H372" s="50" t="str">
        <f t="shared" si="814"/>
        <v>IPDS</v>
      </c>
      <c r="I372" s="50">
        <f t="shared" si="814"/>
        <v>3</v>
      </c>
      <c r="J372" s="50" t="str">
        <f t="shared" si="814"/>
        <v>LT2</v>
      </c>
      <c r="K372" s="84">
        <f>HKAEH5!Q10</f>
        <v>560</v>
      </c>
      <c r="L372" s="84">
        <f>HKAEH5!P10</f>
        <v>780.2</v>
      </c>
      <c r="M372" s="84">
        <f>'[1]April-18'!M19</f>
        <v>1</v>
      </c>
      <c r="N372" s="84">
        <f t="shared" si="0"/>
        <v>220.20000000000005</v>
      </c>
      <c r="O372" s="84">
        <f>HKAEH5!F10</f>
        <v>960</v>
      </c>
      <c r="P372" s="84">
        <f>HKAEH5!E10</f>
        <v>1325.8</v>
      </c>
      <c r="Q372" s="84">
        <f>Q371</f>
        <v>1</v>
      </c>
      <c r="R372" s="84">
        <f t="shared" si="683"/>
        <v>365.79999999999995</v>
      </c>
      <c r="S372" s="84">
        <f>HKAEH5!K10</f>
        <v>273</v>
      </c>
      <c r="T372" s="84">
        <f>HKAEH5!J10</f>
        <v>378.1</v>
      </c>
      <c r="U372" s="84">
        <f>'[1]April-18'!U19</f>
        <v>1</v>
      </c>
      <c r="V372" s="84">
        <f t="shared" si="684"/>
        <v>105.10000000000002</v>
      </c>
      <c r="W372" s="84"/>
      <c r="X372" s="84"/>
      <c r="Y372" s="85">
        <f t="shared" si="87"/>
        <v>2.4466666666666672</v>
      </c>
      <c r="Z372" s="84"/>
      <c r="AA372" s="82" t="str">
        <f>HKAEH5!B10</f>
        <v>01.10.2019</v>
      </c>
    </row>
    <row r="373" spans="1:27" s="40" customFormat="1" ht="39.950000000000003" hidden="1" customHeight="1" x14ac:dyDescent="0.25">
      <c r="A373" s="49">
        <v>4</v>
      </c>
      <c r="B373" s="50" t="str">
        <f t="shared" ref="B373:J376" si="815">B372</f>
        <v>H D Kote</v>
      </c>
      <c r="C373" s="50" t="str">
        <f t="shared" si="815"/>
        <v>HDKOTE/1714</v>
      </c>
      <c r="D373" s="50" t="str">
        <f t="shared" si="815"/>
        <v>DEVARAJ PRE-METRIC BOYS HOSTEL</v>
      </c>
      <c r="E373" s="50" t="str">
        <f t="shared" si="815"/>
        <v>HKAEH5</v>
      </c>
      <c r="F373" s="50">
        <f t="shared" si="815"/>
        <v>5</v>
      </c>
      <c r="G373" s="50" t="str">
        <f t="shared" si="815"/>
        <v>GOVT</v>
      </c>
      <c r="H373" s="50" t="str">
        <f t="shared" si="815"/>
        <v>IPDS</v>
      </c>
      <c r="I373" s="50">
        <f t="shared" si="815"/>
        <v>3</v>
      </c>
      <c r="J373" s="50" t="str">
        <f t="shared" si="815"/>
        <v>LT2</v>
      </c>
      <c r="K373" s="84">
        <f>HKAEH5!Q11</f>
        <v>780.2</v>
      </c>
      <c r="L373" s="84">
        <f>HKAEH5!P11</f>
        <v>1002.8</v>
      </c>
      <c r="M373" s="84">
        <f>'[1]April-18'!M20</f>
        <v>1</v>
      </c>
      <c r="N373" s="84">
        <f t="shared" si="0"/>
        <v>222.59999999999991</v>
      </c>
      <c r="O373" s="84">
        <f>HKAEH5!F11</f>
        <v>1325.8</v>
      </c>
      <c r="P373" s="84">
        <f>HKAEH5!E11</f>
        <v>1535.8</v>
      </c>
      <c r="Q373" s="84">
        <f t="shared" ref="Q373:Q401" si="816">Q372</f>
        <v>1</v>
      </c>
      <c r="R373" s="84">
        <f t="shared" si="683"/>
        <v>210</v>
      </c>
      <c r="S373" s="84">
        <f>HKAEH5!K11</f>
        <v>378.1</v>
      </c>
      <c r="T373" s="84">
        <f>HKAEH5!J11</f>
        <v>498.6</v>
      </c>
      <c r="U373" s="84">
        <f>'[1]April-18'!U20</f>
        <v>1</v>
      </c>
      <c r="V373" s="84">
        <f t="shared" si="684"/>
        <v>120.5</v>
      </c>
      <c r="W373" s="84"/>
      <c r="X373" s="84"/>
      <c r="Y373" s="85">
        <f t="shared" si="87"/>
        <v>2.4733333333333323</v>
      </c>
      <c r="Z373" s="84"/>
      <c r="AA373" s="82" t="str">
        <f>HKAEH5!B11</f>
        <v>01.11.2019</v>
      </c>
    </row>
    <row r="374" spans="1:27" s="40" customFormat="1" ht="39.950000000000003" hidden="1" customHeight="1" x14ac:dyDescent="0.25">
      <c r="A374" s="49">
        <v>5</v>
      </c>
      <c r="B374" s="50" t="str">
        <f t="shared" si="815"/>
        <v>H D Kote</v>
      </c>
      <c r="C374" s="50" t="str">
        <f t="shared" si="815"/>
        <v>HDKOTE/1714</v>
      </c>
      <c r="D374" s="50" t="str">
        <f t="shared" si="815"/>
        <v>DEVARAJ PRE-METRIC BOYS HOSTEL</v>
      </c>
      <c r="E374" s="50" t="str">
        <f t="shared" si="815"/>
        <v>HKAEH5</v>
      </c>
      <c r="F374" s="50">
        <f t="shared" si="815"/>
        <v>5</v>
      </c>
      <c r="G374" s="50" t="str">
        <f t="shared" si="815"/>
        <v>GOVT</v>
      </c>
      <c r="H374" s="50" t="str">
        <f t="shared" si="815"/>
        <v>IPDS</v>
      </c>
      <c r="I374" s="50">
        <f t="shared" si="815"/>
        <v>3</v>
      </c>
      <c r="J374" s="50" t="str">
        <f t="shared" si="815"/>
        <v>LT2</v>
      </c>
      <c r="K374" s="84">
        <f>HKAEH5!Q12</f>
        <v>1002.8</v>
      </c>
      <c r="L374" s="84">
        <f>HKAEH5!P12</f>
        <v>1262.0999999999999</v>
      </c>
      <c r="M374" s="84">
        <f>'[1]April-18'!M21</f>
        <v>1</v>
      </c>
      <c r="N374" s="84">
        <f t="shared" si="0"/>
        <v>259.29999999999995</v>
      </c>
      <c r="O374" s="84">
        <f>HKAEH5!F12</f>
        <v>1535.8</v>
      </c>
      <c r="P374" s="84">
        <f>HKAEH5!E12</f>
        <v>1879.9</v>
      </c>
      <c r="Q374" s="84">
        <f t="shared" si="816"/>
        <v>1</v>
      </c>
      <c r="R374" s="84">
        <f t="shared" si="683"/>
        <v>344.10000000000014</v>
      </c>
      <c r="S374" s="84">
        <f>HKAEH5!K12</f>
        <v>498.6</v>
      </c>
      <c r="T374" s="84">
        <f>HKAEH5!J12</f>
        <v>629.4</v>
      </c>
      <c r="U374" s="84">
        <f>'[1]April-18'!U21</f>
        <v>1</v>
      </c>
      <c r="V374" s="84">
        <f t="shared" si="684"/>
        <v>130.79999999999995</v>
      </c>
      <c r="W374" s="84"/>
      <c r="X374" s="84"/>
      <c r="Y374" s="85">
        <f t="shared" si="87"/>
        <v>2.8811111111111107</v>
      </c>
      <c r="Z374" s="84"/>
      <c r="AA374" s="82" t="str">
        <f>HKAEH5!B12</f>
        <v>01.12.2019</v>
      </c>
    </row>
    <row r="375" spans="1:27" s="40" customFormat="1" ht="39.950000000000003" hidden="1" customHeight="1" x14ac:dyDescent="0.25">
      <c r="A375" s="49">
        <v>6</v>
      </c>
      <c r="B375" s="50" t="str">
        <f t="shared" si="815"/>
        <v>H D Kote</v>
      </c>
      <c r="C375" s="50" t="str">
        <f t="shared" si="815"/>
        <v>HDKOTE/1714</v>
      </c>
      <c r="D375" s="50" t="str">
        <f t="shared" si="815"/>
        <v>DEVARAJ PRE-METRIC BOYS HOSTEL</v>
      </c>
      <c r="E375" s="50" t="str">
        <f t="shared" si="815"/>
        <v>HKAEH5</v>
      </c>
      <c r="F375" s="50">
        <f t="shared" si="815"/>
        <v>5</v>
      </c>
      <c r="G375" s="50" t="str">
        <f t="shared" si="815"/>
        <v>GOVT</v>
      </c>
      <c r="H375" s="50" t="str">
        <f t="shared" si="815"/>
        <v>IPDS</v>
      </c>
      <c r="I375" s="50">
        <f t="shared" si="815"/>
        <v>3</v>
      </c>
      <c r="J375" s="50" t="str">
        <f t="shared" si="815"/>
        <v>LT2</v>
      </c>
      <c r="K375" s="84">
        <f>HKAEH5!Q13</f>
        <v>1262.0999999999999</v>
      </c>
      <c r="L375" s="84">
        <f>HKAEH5!P13</f>
        <v>1523</v>
      </c>
      <c r="M375" s="84">
        <f>'[1]April-18'!M22</f>
        <v>1</v>
      </c>
      <c r="N375" s="84">
        <f t="shared" si="0"/>
        <v>260.90000000000009</v>
      </c>
      <c r="O375" s="84">
        <f>HKAEH5!F13</f>
        <v>1879.9</v>
      </c>
      <c r="P375" s="84">
        <f>HKAEH5!E13</f>
        <v>2252</v>
      </c>
      <c r="Q375" s="84">
        <f t="shared" si="816"/>
        <v>1</v>
      </c>
      <c r="R375" s="84">
        <f t="shared" si="683"/>
        <v>372.09999999999991</v>
      </c>
      <c r="S375" s="84">
        <f>HKAEH5!K13</f>
        <v>629.4</v>
      </c>
      <c r="T375" s="84">
        <f>HKAEH5!J13</f>
        <v>763</v>
      </c>
      <c r="U375" s="84">
        <f>'[1]April-18'!U22</f>
        <v>1</v>
      </c>
      <c r="V375" s="84">
        <f t="shared" si="684"/>
        <v>133.60000000000002</v>
      </c>
      <c r="W375" s="84"/>
      <c r="X375" s="84"/>
      <c r="Y375" s="85">
        <f t="shared" si="87"/>
        <v>2.8988888888888895</v>
      </c>
      <c r="Z375" s="84"/>
      <c r="AA375" s="82" t="str">
        <f>HKAEH5!B13</f>
        <v>01.01.2020</v>
      </c>
    </row>
    <row r="376" spans="1:27" s="40" customFormat="1" ht="39.950000000000003" hidden="1" customHeight="1" x14ac:dyDescent="0.25">
      <c r="A376" s="49">
        <v>7</v>
      </c>
      <c r="B376" s="50" t="str">
        <f t="shared" si="815"/>
        <v>H D Kote</v>
      </c>
      <c r="C376" s="50" t="str">
        <f t="shared" si="815"/>
        <v>HDKOTE/1714</v>
      </c>
      <c r="D376" s="50" t="str">
        <f t="shared" si="815"/>
        <v>DEVARAJ PRE-METRIC BOYS HOSTEL</v>
      </c>
      <c r="E376" s="50" t="str">
        <f t="shared" si="815"/>
        <v>HKAEH5</v>
      </c>
      <c r="F376" s="50">
        <f t="shared" si="815"/>
        <v>5</v>
      </c>
      <c r="G376" s="50" t="str">
        <f t="shared" si="815"/>
        <v>GOVT</v>
      </c>
      <c r="H376" s="50" t="str">
        <f t="shared" si="815"/>
        <v>IPDS</v>
      </c>
      <c r="I376" s="50">
        <f t="shared" si="815"/>
        <v>3</v>
      </c>
      <c r="J376" s="50" t="str">
        <f t="shared" si="815"/>
        <v>LT2</v>
      </c>
      <c r="K376" s="84">
        <f>HKAEH5!Q14</f>
        <v>1523</v>
      </c>
      <c r="L376" s="84">
        <f>HKAEH5!P14</f>
        <v>1844</v>
      </c>
      <c r="M376" s="84">
        <f>'[1]April-18'!M23</f>
        <v>1</v>
      </c>
      <c r="N376" s="84">
        <f t="shared" si="0"/>
        <v>321</v>
      </c>
      <c r="O376" s="84">
        <f>HKAEH5!F14</f>
        <v>2252</v>
      </c>
      <c r="P376" s="84">
        <f>HKAEH5!E14</f>
        <v>2709.8</v>
      </c>
      <c r="Q376" s="84">
        <f t="shared" si="816"/>
        <v>1</v>
      </c>
      <c r="R376" s="84">
        <f t="shared" si="683"/>
        <v>457.80000000000018</v>
      </c>
      <c r="S376" s="84">
        <f>HKAEH5!K14</f>
        <v>763</v>
      </c>
      <c r="T376" s="84">
        <f>HKAEH5!J14</f>
        <v>936.3</v>
      </c>
      <c r="U376" s="84">
        <f>'[1]April-18'!U23</f>
        <v>1</v>
      </c>
      <c r="V376" s="84">
        <f t="shared" si="684"/>
        <v>173.29999999999995</v>
      </c>
      <c r="W376" s="84"/>
      <c r="X376" s="84"/>
      <c r="Y376" s="85">
        <f t="shared" si="87"/>
        <v>3.5666666666666664</v>
      </c>
      <c r="Z376" s="84"/>
      <c r="AA376" s="82" t="s">
        <v>253</v>
      </c>
    </row>
    <row r="377" spans="1:27" s="40" customFormat="1" ht="39.950000000000003" hidden="1" customHeight="1" x14ac:dyDescent="0.25">
      <c r="A377" s="49">
        <v>8</v>
      </c>
      <c r="B377" s="50" t="str">
        <f t="shared" ref="B377:J377" si="817">B376</f>
        <v>H D Kote</v>
      </c>
      <c r="C377" s="50" t="str">
        <f t="shared" si="817"/>
        <v>HDKOTE/1714</v>
      </c>
      <c r="D377" s="50" t="str">
        <f t="shared" si="817"/>
        <v>DEVARAJ PRE-METRIC BOYS HOSTEL</v>
      </c>
      <c r="E377" s="50" t="str">
        <f t="shared" si="817"/>
        <v>HKAEH5</v>
      </c>
      <c r="F377" s="50">
        <f t="shared" si="817"/>
        <v>5</v>
      </c>
      <c r="G377" s="50" t="str">
        <f t="shared" si="817"/>
        <v>GOVT</v>
      </c>
      <c r="H377" s="50" t="str">
        <f t="shared" si="817"/>
        <v>IPDS</v>
      </c>
      <c r="I377" s="50">
        <f t="shared" si="817"/>
        <v>3</v>
      </c>
      <c r="J377" s="50" t="str">
        <f t="shared" si="817"/>
        <v>LT2</v>
      </c>
      <c r="K377" s="84">
        <f>HKAEH5!Q15</f>
        <v>1844</v>
      </c>
      <c r="L377" s="84">
        <f>HKAEH5!P15</f>
        <v>2149.6</v>
      </c>
      <c r="M377" s="84">
        <f>'[1]April-18'!M24</f>
        <v>1</v>
      </c>
      <c r="N377" s="84">
        <f t="shared" ref="N377:N383" si="818">(L377-K377)*M377</f>
        <v>305.59999999999991</v>
      </c>
      <c r="O377" s="84">
        <f>HKAEH5!F15</f>
        <v>2709.8</v>
      </c>
      <c r="P377" s="84">
        <f>HKAEH5!E15</f>
        <v>3029.8</v>
      </c>
      <c r="Q377" s="84">
        <f t="shared" si="816"/>
        <v>1</v>
      </c>
      <c r="R377" s="84">
        <f t="shared" ref="R377:R383" si="819">(P377-O377)*Q377</f>
        <v>320</v>
      </c>
      <c r="S377" s="84">
        <f>HKAEH5!K15</f>
        <v>936.3</v>
      </c>
      <c r="T377" s="84">
        <f>HKAEH5!J15</f>
        <v>1109.3</v>
      </c>
      <c r="U377" s="84">
        <f>'[1]April-18'!U24</f>
        <v>1</v>
      </c>
      <c r="V377" s="84">
        <f t="shared" ref="V377:V383" si="820">(T377-S377)*U377</f>
        <v>173</v>
      </c>
      <c r="W377" s="84"/>
      <c r="X377" s="84"/>
      <c r="Y377" s="85">
        <f t="shared" ref="Y377:Y383" si="821">N377/30/I377</f>
        <v>3.3955555555555548</v>
      </c>
      <c r="Z377" s="84"/>
      <c r="AA377" s="82" t="s">
        <v>254</v>
      </c>
    </row>
    <row r="378" spans="1:27" s="40" customFormat="1" ht="39.950000000000003" hidden="1" customHeight="1" x14ac:dyDescent="0.25">
      <c r="A378" s="49">
        <v>9</v>
      </c>
      <c r="B378" s="50" t="str">
        <f t="shared" ref="B378:J378" si="822">B377</f>
        <v>H D Kote</v>
      </c>
      <c r="C378" s="50" t="str">
        <f t="shared" si="822"/>
        <v>HDKOTE/1714</v>
      </c>
      <c r="D378" s="50" t="str">
        <f t="shared" si="822"/>
        <v>DEVARAJ PRE-METRIC BOYS HOSTEL</v>
      </c>
      <c r="E378" s="50" t="str">
        <f t="shared" si="822"/>
        <v>HKAEH5</v>
      </c>
      <c r="F378" s="50">
        <f t="shared" si="822"/>
        <v>5</v>
      </c>
      <c r="G378" s="50" t="str">
        <f t="shared" si="822"/>
        <v>GOVT</v>
      </c>
      <c r="H378" s="50" t="str">
        <f t="shared" si="822"/>
        <v>IPDS</v>
      </c>
      <c r="I378" s="50">
        <f t="shared" si="822"/>
        <v>3</v>
      </c>
      <c r="J378" s="50" t="str">
        <f t="shared" si="822"/>
        <v>LT2</v>
      </c>
      <c r="K378" s="84">
        <f>HKAEH5!Q16</f>
        <v>2149.6</v>
      </c>
      <c r="L378" s="84">
        <f>HKAEH5!P16</f>
        <v>2538.6</v>
      </c>
      <c r="M378" s="84">
        <f>'[1]April-18'!M25</f>
        <v>1</v>
      </c>
      <c r="N378" s="84">
        <f t="shared" si="818"/>
        <v>389</v>
      </c>
      <c r="O378" s="84">
        <f>HKAEH5!F16</f>
        <v>3029.8</v>
      </c>
      <c r="P378" s="84">
        <f>HKAEH5!E16</f>
        <v>3241.8</v>
      </c>
      <c r="Q378" s="84">
        <f t="shared" si="816"/>
        <v>1</v>
      </c>
      <c r="R378" s="84">
        <f t="shared" si="819"/>
        <v>212</v>
      </c>
      <c r="S378" s="84">
        <f>HKAEH5!K16</f>
        <v>1109.3</v>
      </c>
      <c r="T378" s="84">
        <f>HKAEH5!J16</f>
        <v>1364.3</v>
      </c>
      <c r="U378" s="84">
        <f>'[1]April-18'!U25</f>
        <v>1</v>
      </c>
      <c r="V378" s="84">
        <f t="shared" si="820"/>
        <v>255</v>
      </c>
      <c r="W378" s="84"/>
      <c r="X378" s="84"/>
      <c r="Y378" s="85">
        <f t="shared" si="821"/>
        <v>4.322222222222222</v>
      </c>
      <c r="Z378" s="84"/>
      <c r="AA378" s="82" t="s">
        <v>258</v>
      </c>
    </row>
    <row r="379" spans="1:27" s="40" customFormat="1" ht="39.950000000000003" hidden="1" customHeight="1" x14ac:dyDescent="0.25">
      <c r="A379" s="49">
        <v>10</v>
      </c>
      <c r="B379" s="50" t="str">
        <f t="shared" ref="B379:J379" si="823">B378</f>
        <v>H D Kote</v>
      </c>
      <c r="C379" s="50" t="str">
        <f t="shared" si="823"/>
        <v>HDKOTE/1714</v>
      </c>
      <c r="D379" s="50" t="str">
        <f t="shared" si="823"/>
        <v>DEVARAJ PRE-METRIC BOYS HOSTEL</v>
      </c>
      <c r="E379" s="50" t="str">
        <f t="shared" si="823"/>
        <v>HKAEH5</v>
      </c>
      <c r="F379" s="50">
        <f t="shared" si="823"/>
        <v>5</v>
      </c>
      <c r="G379" s="50" t="str">
        <f t="shared" si="823"/>
        <v>GOVT</v>
      </c>
      <c r="H379" s="50" t="str">
        <f t="shared" si="823"/>
        <v>IPDS</v>
      </c>
      <c r="I379" s="50">
        <f t="shared" si="823"/>
        <v>3</v>
      </c>
      <c r="J379" s="50" t="str">
        <f t="shared" si="823"/>
        <v>LT2</v>
      </c>
      <c r="K379" s="84">
        <f>HKAEH5!Q17</f>
        <v>0</v>
      </c>
      <c r="L379" s="84">
        <f>HKAEH5!P17</f>
        <v>0</v>
      </c>
      <c r="M379" s="84">
        <f>M378</f>
        <v>1</v>
      </c>
      <c r="N379" s="84">
        <f t="shared" si="818"/>
        <v>0</v>
      </c>
      <c r="O379" s="84">
        <f>HKAEH5!F17</f>
        <v>0</v>
      </c>
      <c r="P379" s="84">
        <f>HKAEH5!E17</f>
        <v>0</v>
      </c>
      <c r="Q379" s="84">
        <f t="shared" si="816"/>
        <v>1</v>
      </c>
      <c r="R379" s="84">
        <f t="shared" si="819"/>
        <v>0</v>
      </c>
      <c r="S379" s="84">
        <f>HKAEH5!K17</f>
        <v>0</v>
      </c>
      <c r="T379" s="84">
        <f>HKAEH5!J17</f>
        <v>0</v>
      </c>
      <c r="U379" s="84">
        <f>U378</f>
        <v>1</v>
      </c>
      <c r="V379" s="84">
        <f t="shared" si="820"/>
        <v>0</v>
      </c>
      <c r="W379" s="84"/>
      <c r="X379" s="84"/>
      <c r="Y379" s="85">
        <f t="shared" si="821"/>
        <v>0</v>
      </c>
      <c r="Z379" s="84"/>
      <c r="AA379" s="82"/>
    </row>
    <row r="380" spans="1:27" s="40" customFormat="1" ht="39.950000000000003" hidden="1" customHeight="1" x14ac:dyDescent="0.25">
      <c r="A380" s="49">
        <v>11</v>
      </c>
      <c r="B380" s="50" t="str">
        <f t="shared" ref="B380:J380" si="824">B379</f>
        <v>H D Kote</v>
      </c>
      <c r="C380" s="50" t="str">
        <f t="shared" si="824"/>
        <v>HDKOTE/1714</v>
      </c>
      <c r="D380" s="50" t="str">
        <f t="shared" si="824"/>
        <v>DEVARAJ PRE-METRIC BOYS HOSTEL</v>
      </c>
      <c r="E380" s="50" t="str">
        <f t="shared" si="824"/>
        <v>HKAEH5</v>
      </c>
      <c r="F380" s="50">
        <f t="shared" si="824"/>
        <v>5</v>
      </c>
      <c r="G380" s="50" t="str">
        <f t="shared" si="824"/>
        <v>GOVT</v>
      </c>
      <c r="H380" s="50" t="str">
        <f t="shared" si="824"/>
        <v>IPDS</v>
      </c>
      <c r="I380" s="50">
        <f t="shared" si="824"/>
        <v>3</v>
      </c>
      <c r="J380" s="50" t="str">
        <f t="shared" si="824"/>
        <v>LT2</v>
      </c>
      <c r="K380" s="84">
        <f>HKAEH5!Q18</f>
        <v>2538.6</v>
      </c>
      <c r="L380" s="84">
        <f>HKAEH5!P18</f>
        <v>2907.2</v>
      </c>
      <c r="M380" s="84">
        <f>M379</f>
        <v>1</v>
      </c>
      <c r="N380" s="84">
        <f t="shared" si="818"/>
        <v>368.59999999999991</v>
      </c>
      <c r="O380" s="84">
        <f>HKAEH5!F18</f>
        <v>3241.8</v>
      </c>
      <c r="P380" s="84">
        <f>HKAEH5!E18</f>
        <v>3429.2</v>
      </c>
      <c r="Q380" s="84">
        <f t="shared" si="816"/>
        <v>1</v>
      </c>
      <c r="R380" s="84">
        <f t="shared" si="819"/>
        <v>187.39999999999964</v>
      </c>
      <c r="S380" s="84">
        <f>HKAEH5!K18</f>
        <v>1364.3</v>
      </c>
      <c r="T380" s="84">
        <f>HKAEH5!J18</f>
        <v>1612</v>
      </c>
      <c r="U380" s="84">
        <f>U379</f>
        <v>1</v>
      </c>
      <c r="V380" s="84">
        <f t="shared" si="820"/>
        <v>247.70000000000005</v>
      </c>
      <c r="W380" s="84"/>
      <c r="X380" s="84"/>
      <c r="Y380" s="85">
        <f t="shared" si="821"/>
        <v>4.0955555555555545</v>
      </c>
      <c r="Z380" s="84"/>
      <c r="AA380" s="82" t="s">
        <v>259</v>
      </c>
    </row>
    <row r="381" spans="1:27" s="40" customFormat="1" ht="39.950000000000003" hidden="1" customHeight="1" x14ac:dyDescent="0.25">
      <c r="A381" s="49">
        <v>12</v>
      </c>
      <c r="B381" s="50" t="str">
        <f t="shared" ref="B381:J381" si="825">B380</f>
        <v>H D Kote</v>
      </c>
      <c r="C381" s="50" t="str">
        <f t="shared" si="825"/>
        <v>HDKOTE/1714</v>
      </c>
      <c r="D381" s="50" t="str">
        <f t="shared" si="825"/>
        <v>DEVARAJ PRE-METRIC BOYS HOSTEL</v>
      </c>
      <c r="E381" s="50" t="str">
        <f t="shared" si="825"/>
        <v>HKAEH5</v>
      </c>
      <c r="F381" s="50">
        <f t="shared" si="825"/>
        <v>5</v>
      </c>
      <c r="G381" s="50" t="str">
        <f t="shared" si="825"/>
        <v>GOVT</v>
      </c>
      <c r="H381" s="50" t="str">
        <f t="shared" si="825"/>
        <v>IPDS</v>
      </c>
      <c r="I381" s="50">
        <f t="shared" si="825"/>
        <v>3</v>
      </c>
      <c r="J381" s="50" t="str">
        <f t="shared" si="825"/>
        <v>LT2</v>
      </c>
      <c r="K381" s="84">
        <f>HKAEH5!Q19</f>
        <v>2907.2</v>
      </c>
      <c r="L381" s="84">
        <f>HKAEH5!P19</f>
        <v>3244.3</v>
      </c>
      <c r="M381" s="84">
        <f>M380</f>
        <v>1</v>
      </c>
      <c r="N381" s="84">
        <f t="shared" si="818"/>
        <v>337.10000000000036</v>
      </c>
      <c r="O381" s="84">
        <f>HKAEH5!F19</f>
        <v>3429.2</v>
      </c>
      <c r="P381" s="84">
        <f>HKAEH5!E19</f>
        <v>3685.4</v>
      </c>
      <c r="Q381" s="84">
        <f t="shared" si="816"/>
        <v>1</v>
      </c>
      <c r="R381" s="84">
        <f t="shared" si="819"/>
        <v>256.20000000000027</v>
      </c>
      <c r="S381" s="84">
        <f>HKAEH5!K19</f>
        <v>1612</v>
      </c>
      <c r="T381" s="84">
        <f>HKAEH5!J19</f>
        <v>1772.2</v>
      </c>
      <c r="U381" s="84">
        <f>U380</f>
        <v>1</v>
      </c>
      <c r="V381" s="84">
        <f t="shared" si="820"/>
        <v>160.20000000000005</v>
      </c>
      <c r="W381" s="84"/>
      <c r="X381" s="84"/>
      <c r="Y381" s="85">
        <f t="shared" si="821"/>
        <v>3.7455555555555597</v>
      </c>
      <c r="Z381" s="84"/>
      <c r="AA381" s="82" t="s">
        <v>263</v>
      </c>
    </row>
    <row r="382" spans="1:27" s="40" customFormat="1" ht="39.950000000000003" hidden="1" customHeight="1" x14ac:dyDescent="0.25">
      <c r="A382" s="49">
        <v>13</v>
      </c>
      <c r="B382" s="50" t="str">
        <f t="shared" ref="B382:J382" si="826">B381</f>
        <v>H D Kote</v>
      </c>
      <c r="C382" s="50" t="str">
        <f t="shared" si="826"/>
        <v>HDKOTE/1714</v>
      </c>
      <c r="D382" s="50" t="str">
        <f t="shared" si="826"/>
        <v>DEVARAJ PRE-METRIC BOYS HOSTEL</v>
      </c>
      <c r="E382" s="50" t="str">
        <f t="shared" si="826"/>
        <v>HKAEH5</v>
      </c>
      <c r="F382" s="50">
        <f t="shared" si="826"/>
        <v>5</v>
      </c>
      <c r="G382" s="50" t="str">
        <f t="shared" si="826"/>
        <v>GOVT</v>
      </c>
      <c r="H382" s="50" t="str">
        <f t="shared" si="826"/>
        <v>IPDS</v>
      </c>
      <c r="I382" s="50">
        <f t="shared" si="826"/>
        <v>3</v>
      </c>
      <c r="J382" s="50" t="str">
        <f t="shared" si="826"/>
        <v>LT2</v>
      </c>
      <c r="K382" s="84">
        <f>HKAEH5!Q20</f>
        <v>3244.3</v>
      </c>
      <c r="L382" s="84">
        <f>HKAEH5!P20</f>
        <v>3479.9</v>
      </c>
      <c r="M382" s="84">
        <f>'[1]April-18'!M29</f>
        <v>1</v>
      </c>
      <c r="N382" s="84">
        <f t="shared" si="818"/>
        <v>235.59999999999991</v>
      </c>
      <c r="O382" s="84">
        <f>HKAEH5!F20</f>
        <v>3685.4</v>
      </c>
      <c r="P382" s="84">
        <f>HKAEH5!E20</f>
        <v>3882.5</v>
      </c>
      <c r="Q382" s="84">
        <f t="shared" si="816"/>
        <v>1</v>
      </c>
      <c r="R382" s="84">
        <f t="shared" si="819"/>
        <v>197.09999999999991</v>
      </c>
      <c r="S382" s="84">
        <f>HKAEH5!K20</f>
        <v>1772.2</v>
      </c>
      <c r="T382" s="84">
        <f>HKAEH5!J20</f>
        <v>1893.5</v>
      </c>
      <c r="U382" s="84">
        <f>'[1]April-18'!U29</f>
        <v>1</v>
      </c>
      <c r="V382" s="84">
        <f t="shared" si="820"/>
        <v>121.29999999999995</v>
      </c>
      <c r="W382" s="84"/>
      <c r="X382" s="84"/>
      <c r="Y382" s="85">
        <f t="shared" si="821"/>
        <v>2.6177777777777766</v>
      </c>
      <c r="Z382" s="84"/>
      <c r="AA382" s="82" t="s">
        <v>265</v>
      </c>
    </row>
    <row r="383" spans="1:27" s="40" customFormat="1" ht="39.950000000000003" hidden="1" customHeight="1" x14ac:dyDescent="0.25">
      <c r="A383" s="49">
        <v>14</v>
      </c>
      <c r="B383" s="50" t="str">
        <f t="shared" ref="B383:J383" si="827">B382</f>
        <v>H D Kote</v>
      </c>
      <c r="C383" s="50" t="str">
        <f t="shared" si="827"/>
        <v>HDKOTE/1714</v>
      </c>
      <c r="D383" s="50" t="str">
        <f t="shared" si="827"/>
        <v>DEVARAJ PRE-METRIC BOYS HOSTEL</v>
      </c>
      <c r="E383" s="50" t="str">
        <f t="shared" si="827"/>
        <v>HKAEH5</v>
      </c>
      <c r="F383" s="50">
        <f t="shared" si="827"/>
        <v>5</v>
      </c>
      <c r="G383" s="50" t="str">
        <f t="shared" si="827"/>
        <v>GOVT</v>
      </c>
      <c r="H383" s="50" t="str">
        <f t="shared" si="827"/>
        <v>IPDS</v>
      </c>
      <c r="I383" s="50">
        <f t="shared" si="827"/>
        <v>3</v>
      </c>
      <c r="J383" s="50" t="str">
        <f t="shared" si="827"/>
        <v>LT2</v>
      </c>
      <c r="K383" s="84">
        <f>HKAEH5!Q21</f>
        <v>3479.9</v>
      </c>
      <c r="L383" s="84">
        <f>HKAEH5!P21</f>
        <v>3764.2</v>
      </c>
      <c r="M383" s="84">
        <f>'[1]April-18'!M30</f>
        <v>1</v>
      </c>
      <c r="N383" s="84">
        <f t="shared" si="818"/>
        <v>284.29999999999973</v>
      </c>
      <c r="O383" s="84">
        <f>HKAEH5!F21</f>
        <v>3882.5</v>
      </c>
      <c r="P383" s="84">
        <f>HKAEH5!E21</f>
        <v>4101.7</v>
      </c>
      <c r="Q383" s="84">
        <f t="shared" si="816"/>
        <v>1</v>
      </c>
      <c r="R383" s="84">
        <f t="shared" si="819"/>
        <v>219.19999999999982</v>
      </c>
      <c r="S383" s="84">
        <f>HKAEH5!K21</f>
        <v>1893.5</v>
      </c>
      <c r="T383" s="84">
        <f>HKAEH5!J21</f>
        <v>2020.7</v>
      </c>
      <c r="U383" s="84">
        <f>'[1]April-18'!U30</f>
        <v>1</v>
      </c>
      <c r="V383" s="84">
        <f t="shared" si="820"/>
        <v>127.20000000000005</v>
      </c>
      <c r="W383" s="84"/>
      <c r="X383" s="84"/>
      <c r="Y383" s="85">
        <f t="shared" si="821"/>
        <v>3.1588888888888857</v>
      </c>
      <c r="Z383" s="84"/>
      <c r="AA383" s="82"/>
    </row>
    <row r="384" spans="1:27" s="40" customFormat="1" ht="39.950000000000003" hidden="1" customHeight="1" x14ac:dyDescent="0.25">
      <c r="A384" s="49">
        <v>15</v>
      </c>
      <c r="B384" s="50" t="str">
        <f t="shared" ref="B384:J384" si="828">B383</f>
        <v>H D Kote</v>
      </c>
      <c r="C384" s="50" t="str">
        <f t="shared" si="828"/>
        <v>HDKOTE/1714</v>
      </c>
      <c r="D384" s="50" t="str">
        <f t="shared" si="828"/>
        <v>DEVARAJ PRE-METRIC BOYS HOSTEL</v>
      </c>
      <c r="E384" s="50" t="str">
        <f t="shared" si="828"/>
        <v>HKAEH5</v>
      </c>
      <c r="F384" s="50">
        <f t="shared" si="828"/>
        <v>5</v>
      </c>
      <c r="G384" s="50" t="str">
        <f t="shared" si="828"/>
        <v>GOVT</v>
      </c>
      <c r="H384" s="50" t="str">
        <f t="shared" si="828"/>
        <v>IPDS</v>
      </c>
      <c r="I384" s="50">
        <f t="shared" si="828"/>
        <v>3</v>
      </c>
      <c r="J384" s="50" t="str">
        <f t="shared" si="828"/>
        <v>LT2</v>
      </c>
      <c r="K384" s="84">
        <f>HKAEH5!Q22</f>
        <v>3764.2</v>
      </c>
      <c r="L384" s="84">
        <f>HKAEH5!P22</f>
        <v>4021</v>
      </c>
      <c r="M384" s="84">
        <f>'[1]April-18'!M31</f>
        <v>1</v>
      </c>
      <c r="N384" s="84">
        <f t="shared" ref="N384:N388" si="829">(L384-K384)*M384</f>
        <v>256.80000000000018</v>
      </c>
      <c r="O384" s="84">
        <f>HKAEH5!F22</f>
        <v>4101.7</v>
      </c>
      <c r="P384" s="84">
        <f>HKAEH5!E22</f>
        <v>4302.7</v>
      </c>
      <c r="Q384" s="84">
        <f t="shared" si="816"/>
        <v>1</v>
      </c>
      <c r="R384" s="84">
        <f t="shared" ref="R384:R388" si="830">(P384-O384)*Q384</f>
        <v>201</v>
      </c>
      <c r="S384" s="84">
        <f>HKAEH5!K22</f>
        <v>2020.7</v>
      </c>
      <c r="T384" s="84">
        <f>HKAEH5!J22</f>
        <v>2151.1</v>
      </c>
      <c r="U384" s="84">
        <f>'[1]April-18'!U31</f>
        <v>1</v>
      </c>
      <c r="V384" s="84">
        <f t="shared" ref="V384:V388" si="831">(T384-S384)*U384</f>
        <v>130.39999999999986</v>
      </c>
      <c r="W384" s="84"/>
      <c r="X384" s="84"/>
      <c r="Y384" s="85">
        <f t="shared" ref="Y384:Y388" si="832">N384/30/I384</f>
        <v>2.8533333333333353</v>
      </c>
      <c r="Z384" s="84"/>
      <c r="AA384" s="82"/>
    </row>
    <row r="385" spans="1:27" s="40" customFormat="1" ht="39.950000000000003" hidden="1" customHeight="1" x14ac:dyDescent="0.25">
      <c r="A385" s="49">
        <v>16</v>
      </c>
      <c r="B385" s="50" t="str">
        <f t="shared" ref="B385:J385" si="833">B384</f>
        <v>H D Kote</v>
      </c>
      <c r="C385" s="50" t="str">
        <f t="shared" si="833"/>
        <v>HDKOTE/1714</v>
      </c>
      <c r="D385" s="50" t="str">
        <f t="shared" si="833"/>
        <v>DEVARAJ PRE-METRIC BOYS HOSTEL</v>
      </c>
      <c r="E385" s="50" t="str">
        <f t="shared" si="833"/>
        <v>HKAEH5</v>
      </c>
      <c r="F385" s="50">
        <f t="shared" si="833"/>
        <v>5</v>
      </c>
      <c r="G385" s="50" t="str">
        <f t="shared" si="833"/>
        <v>GOVT</v>
      </c>
      <c r="H385" s="50" t="str">
        <f t="shared" si="833"/>
        <v>IPDS</v>
      </c>
      <c r="I385" s="50">
        <f t="shared" si="833"/>
        <v>3</v>
      </c>
      <c r="J385" s="50" t="str">
        <f t="shared" si="833"/>
        <v>LT2</v>
      </c>
      <c r="K385" s="84">
        <f>HKAEH5!Q23</f>
        <v>4021</v>
      </c>
      <c r="L385" s="84">
        <f>HKAEH5!P23</f>
        <v>4265.2</v>
      </c>
      <c r="M385" s="84">
        <f>'[1]April-18'!M32</f>
        <v>1</v>
      </c>
      <c r="N385" s="84">
        <f t="shared" si="829"/>
        <v>244.19999999999982</v>
      </c>
      <c r="O385" s="84">
        <f>HKAEH5!F23</f>
        <v>4302.7</v>
      </c>
      <c r="P385" s="84">
        <f>HKAEH5!E23</f>
        <v>4508.7</v>
      </c>
      <c r="Q385" s="84">
        <f t="shared" si="816"/>
        <v>1</v>
      </c>
      <c r="R385" s="84">
        <f t="shared" si="830"/>
        <v>206</v>
      </c>
      <c r="S385" s="84">
        <f>HKAEH5!K23</f>
        <v>2151.1</v>
      </c>
      <c r="T385" s="84">
        <f>HKAEH5!J23</f>
        <v>2302.1</v>
      </c>
      <c r="U385" s="84">
        <f>'[1]April-18'!U32</f>
        <v>1</v>
      </c>
      <c r="V385" s="84">
        <f t="shared" si="831"/>
        <v>151</v>
      </c>
      <c r="W385" s="84"/>
      <c r="X385" s="84"/>
      <c r="Y385" s="85">
        <f t="shared" si="832"/>
        <v>2.7133333333333312</v>
      </c>
      <c r="Z385" s="84"/>
      <c r="AA385" s="82"/>
    </row>
    <row r="386" spans="1:27" s="40" customFormat="1" ht="39.950000000000003" hidden="1" customHeight="1" x14ac:dyDescent="0.25">
      <c r="A386" s="93">
        <v>17</v>
      </c>
      <c r="B386" s="50" t="str">
        <f t="shared" ref="B386:J386" si="834">B385</f>
        <v>H D Kote</v>
      </c>
      <c r="C386" s="50" t="str">
        <f t="shared" si="834"/>
        <v>HDKOTE/1714</v>
      </c>
      <c r="D386" s="50" t="str">
        <f t="shared" si="834"/>
        <v>DEVARAJ PRE-METRIC BOYS HOSTEL</v>
      </c>
      <c r="E386" s="50" t="str">
        <f t="shared" si="834"/>
        <v>HKAEH5</v>
      </c>
      <c r="F386" s="50">
        <f t="shared" si="834"/>
        <v>5</v>
      </c>
      <c r="G386" s="50" t="str">
        <f t="shared" si="834"/>
        <v>GOVT</v>
      </c>
      <c r="H386" s="50" t="str">
        <f t="shared" si="834"/>
        <v>IPDS</v>
      </c>
      <c r="I386" s="50">
        <f t="shared" si="834"/>
        <v>3</v>
      </c>
      <c r="J386" s="50" t="str">
        <f t="shared" si="834"/>
        <v>LT2</v>
      </c>
      <c r="K386" s="84">
        <f>HKAEH5!Q24</f>
        <v>4265.2</v>
      </c>
      <c r="L386" s="84">
        <f>HKAEH5!P24</f>
        <v>4581.1000000000004</v>
      </c>
      <c r="M386" s="84">
        <f>M385</f>
        <v>1</v>
      </c>
      <c r="N386" s="84">
        <f t="shared" si="829"/>
        <v>315.90000000000055</v>
      </c>
      <c r="O386" s="84">
        <f>HKAEH5!F24</f>
        <v>4508.7</v>
      </c>
      <c r="P386" s="84">
        <f>HKAEH5!E24</f>
        <v>4685.3</v>
      </c>
      <c r="Q386" s="84">
        <f t="shared" si="816"/>
        <v>1</v>
      </c>
      <c r="R386" s="84">
        <f t="shared" si="830"/>
        <v>176.60000000000036</v>
      </c>
      <c r="S386" s="84">
        <f>HKAEH5!K24</f>
        <v>2302.1</v>
      </c>
      <c r="T386" s="84">
        <f>HKAEH5!J24</f>
        <v>2480.4</v>
      </c>
      <c r="U386" s="84">
        <f>U385</f>
        <v>1</v>
      </c>
      <c r="V386" s="84">
        <f t="shared" si="831"/>
        <v>178.30000000000018</v>
      </c>
      <c r="W386" s="84"/>
      <c r="X386" s="84"/>
      <c r="Y386" s="85">
        <f t="shared" si="832"/>
        <v>3.5100000000000064</v>
      </c>
      <c r="Z386" s="84"/>
      <c r="AA386" s="82"/>
    </row>
    <row r="387" spans="1:27" s="40" customFormat="1" ht="39.950000000000003" hidden="1" customHeight="1" x14ac:dyDescent="0.25">
      <c r="A387" s="94">
        <v>18</v>
      </c>
      <c r="B387" s="50" t="str">
        <f t="shared" ref="B387:J387" si="835">B386</f>
        <v>H D Kote</v>
      </c>
      <c r="C387" s="50" t="str">
        <f t="shared" si="835"/>
        <v>HDKOTE/1714</v>
      </c>
      <c r="D387" s="50" t="str">
        <f t="shared" si="835"/>
        <v>DEVARAJ PRE-METRIC BOYS HOSTEL</v>
      </c>
      <c r="E387" s="50" t="str">
        <f t="shared" si="835"/>
        <v>HKAEH5</v>
      </c>
      <c r="F387" s="50">
        <f t="shared" si="835"/>
        <v>5</v>
      </c>
      <c r="G387" s="50" t="str">
        <f t="shared" si="835"/>
        <v>GOVT</v>
      </c>
      <c r="H387" s="50" t="str">
        <f t="shared" si="835"/>
        <v>IPDS</v>
      </c>
      <c r="I387" s="50">
        <f t="shared" si="835"/>
        <v>3</v>
      </c>
      <c r="J387" s="50" t="str">
        <f t="shared" si="835"/>
        <v>LT2</v>
      </c>
      <c r="K387" s="84">
        <f>HKAEH5!Q25</f>
        <v>4581.1000000000004</v>
      </c>
      <c r="L387" s="84">
        <f>HKAEH5!P25</f>
        <v>4857.2</v>
      </c>
      <c r="M387" s="84">
        <f>'[1]April-18'!M34</f>
        <v>1</v>
      </c>
      <c r="N387" s="84">
        <f t="shared" si="829"/>
        <v>276.09999999999945</v>
      </c>
      <c r="O387" s="84">
        <f>HKAEH5!F25</f>
        <v>4685.3</v>
      </c>
      <c r="P387" s="84">
        <f>HKAEH5!E25</f>
        <v>4929.1000000000004</v>
      </c>
      <c r="Q387" s="84">
        <f t="shared" si="816"/>
        <v>1</v>
      </c>
      <c r="R387" s="84">
        <f t="shared" si="830"/>
        <v>243.80000000000018</v>
      </c>
      <c r="S387" s="84">
        <f>HKAEH5!K25</f>
        <v>2480.4</v>
      </c>
      <c r="T387" s="84">
        <f>HKAEH5!J25</f>
        <v>2604</v>
      </c>
      <c r="U387" s="84">
        <f>'[1]April-18'!U34</f>
        <v>1</v>
      </c>
      <c r="V387" s="84">
        <f t="shared" si="831"/>
        <v>123.59999999999991</v>
      </c>
      <c r="W387" s="84"/>
      <c r="X387" s="84"/>
      <c r="Y387" s="85">
        <f t="shared" si="832"/>
        <v>3.0677777777777719</v>
      </c>
      <c r="Z387" s="84"/>
      <c r="AA387" s="82"/>
    </row>
    <row r="388" spans="1:27" s="40" customFormat="1" ht="39.950000000000003" hidden="1" customHeight="1" x14ac:dyDescent="0.25">
      <c r="A388" s="95">
        <v>19</v>
      </c>
      <c r="B388" s="50" t="str">
        <f t="shared" ref="B388:J388" si="836">B387</f>
        <v>H D Kote</v>
      </c>
      <c r="C388" s="50" t="str">
        <f t="shared" si="836"/>
        <v>HDKOTE/1714</v>
      </c>
      <c r="D388" s="50" t="str">
        <f t="shared" si="836"/>
        <v>DEVARAJ PRE-METRIC BOYS HOSTEL</v>
      </c>
      <c r="E388" s="50" t="str">
        <f t="shared" si="836"/>
        <v>HKAEH5</v>
      </c>
      <c r="F388" s="50">
        <f t="shared" si="836"/>
        <v>5</v>
      </c>
      <c r="G388" s="50" t="str">
        <f t="shared" si="836"/>
        <v>GOVT</v>
      </c>
      <c r="H388" s="50" t="str">
        <f t="shared" si="836"/>
        <v>IPDS</v>
      </c>
      <c r="I388" s="50">
        <f t="shared" si="836"/>
        <v>3</v>
      </c>
      <c r="J388" s="50" t="str">
        <f t="shared" si="836"/>
        <v>LT2</v>
      </c>
      <c r="K388" s="84">
        <f>HKAEH5!Q26</f>
        <v>4857.2</v>
      </c>
      <c r="L388" s="84">
        <f>HKAEH5!P26</f>
        <v>5126.7</v>
      </c>
      <c r="M388" s="84">
        <f t="shared" ref="M388:M401" si="837">M387</f>
        <v>1</v>
      </c>
      <c r="N388" s="84">
        <f t="shared" si="829"/>
        <v>269.5</v>
      </c>
      <c r="O388" s="84">
        <f>HKAEH5!F26</f>
        <v>4929.1000000000004</v>
      </c>
      <c r="P388" s="84">
        <f>HKAEH5!E26</f>
        <v>5155.6000000000004</v>
      </c>
      <c r="Q388" s="84">
        <f t="shared" si="816"/>
        <v>1</v>
      </c>
      <c r="R388" s="84">
        <f t="shared" si="830"/>
        <v>226.5</v>
      </c>
      <c r="S388" s="84">
        <f>HKAEH5!K26</f>
        <v>2604</v>
      </c>
      <c r="T388" s="84">
        <f>HKAEH5!J26</f>
        <v>2739.7</v>
      </c>
      <c r="U388" s="84">
        <f>'[1]April-18'!U35</f>
        <v>1</v>
      </c>
      <c r="V388" s="84">
        <f t="shared" si="831"/>
        <v>135.69999999999982</v>
      </c>
      <c r="W388" s="84"/>
      <c r="X388" s="84"/>
      <c r="Y388" s="85">
        <f t="shared" si="832"/>
        <v>2.994444444444444</v>
      </c>
      <c r="Z388" s="84"/>
      <c r="AA388" s="82"/>
    </row>
    <row r="389" spans="1:27" s="40" customFormat="1" ht="39.950000000000003" hidden="1" customHeight="1" x14ac:dyDescent="0.25">
      <c r="A389" s="49">
        <v>20</v>
      </c>
      <c r="B389" s="50" t="str">
        <f t="shared" ref="B389:J393" si="838">B388</f>
        <v>H D Kote</v>
      </c>
      <c r="C389" s="50" t="str">
        <f t="shared" si="838"/>
        <v>HDKOTE/1714</v>
      </c>
      <c r="D389" s="50" t="str">
        <f t="shared" si="838"/>
        <v>DEVARAJ PRE-METRIC BOYS HOSTEL</v>
      </c>
      <c r="E389" s="50" t="str">
        <f t="shared" si="838"/>
        <v>HKAEH5</v>
      </c>
      <c r="F389" s="50">
        <f t="shared" si="838"/>
        <v>5</v>
      </c>
      <c r="G389" s="50" t="str">
        <f t="shared" si="838"/>
        <v>GOVT</v>
      </c>
      <c r="H389" s="50" t="str">
        <f t="shared" si="838"/>
        <v>IPDS</v>
      </c>
      <c r="I389" s="50">
        <f t="shared" si="838"/>
        <v>3</v>
      </c>
      <c r="J389" s="50" t="str">
        <f t="shared" si="838"/>
        <v>LT2</v>
      </c>
      <c r="K389" s="84">
        <f>HKAEH5!Q27</f>
        <v>5126.7</v>
      </c>
      <c r="L389" s="84">
        <f>HKAEH5!P27</f>
        <v>5402</v>
      </c>
      <c r="M389" s="84">
        <f t="shared" si="837"/>
        <v>1</v>
      </c>
      <c r="N389" s="84">
        <f t="shared" ref="N389" si="839">(L389-K389)*M389</f>
        <v>275.30000000000018</v>
      </c>
      <c r="O389" s="84">
        <f>HKAEH5!F27</f>
        <v>5155.6000000000004</v>
      </c>
      <c r="P389" s="84">
        <f>HKAEH5!E27</f>
        <v>5366.6</v>
      </c>
      <c r="Q389" s="84">
        <f t="shared" si="816"/>
        <v>1</v>
      </c>
      <c r="R389" s="84">
        <f t="shared" ref="R389" si="840">(P389-O389)*Q389</f>
        <v>211</v>
      </c>
      <c r="S389" s="84">
        <f>HKAEH5!K27</f>
        <v>2739.7</v>
      </c>
      <c r="T389" s="84">
        <f>HKAEH5!J27</f>
        <v>2857.7</v>
      </c>
      <c r="U389" s="84">
        <f>'[1]April-18'!U36</f>
        <v>1</v>
      </c>
      <c r="V389" s="84">
        <f t="shared" ref="V389" si="841">(T389-S389)*U389</f>
        <v>118</v>
      </c>
      <c r="W389" s="84"/>
      <c r="X389" s="84"/>
      <c r="Y389" s="85">
        <f t="shared" ref="Y389" si="842">N389/30/I389</f>
        <v>3.058888888888891</v>
      </c>
      <c r="Z389" s="84"/>
      <c r="AA389" s="82"/>
    </row>
    <row r="390" spans="1:27" s="40" customFormat="1" ht="39.950000000000003" hidden="1" customHeight="1" x14ac:dyDescent="0.25">
      <c r="A390" s="49">
        <v>21</v>
      </c>
      <c r="B390" s="50" t="str">
        <f t="shared" si="838"/>
        <v>H D Kote</v>
      </c>
      <c r="C390" s="50" t="str">
        <f t="shared" si="838"/>
        <v>HDKOTE/1714</v>
      </c>
      <c r="D390" s="50" t="str">
        <f t="shared" si="838"/>
        <v>DEVARAJ PRE-METRIC BOYS HOSTEL</v>
      </c>
      <c r="E390" s="50" t="str">
        <f t="shared" si="838"/>
        <v>HKAEH5</v>
      </c>
      <c r="F390" s="50">
        <f t="shared" si="838"/>
        <v>5</v>
      </c>
      <c r="G390" s="50" t="str">
        <f t="shared" si="838"/>
        <v>GOVT</v>
      </c>
      <c r="H390" s="50" t="str">
        <f t="shared" si="838"/>
        <v>IPDS</v>
      </c>
      <c r="I390" s="50">
        <f t="shared" si="838"/>
        <v>3</v>
      </c>
      <c r="J390" s="50" t="str">
        <f t="shared" si="838"/>
        <v>LT2</v>
      </c>
      <c r="K390" s="84">
        <f>HKAEH5!Q28</f>
        <v>5402</v>
      </c>
      <c r="L390" s="84">
        <f>HKAEH5!P28</f>
        <v>5718.7</v>
      </c>
      <c r="M390" s="84">
        <f t="shared" si="837"/>
        <v>1</v>
      </c>
      <c r="N390" s="84">
        <f t="shared" ref="N390:N392" si="843">(L390-K390)*M390</f>
        <v>316.69999999999982</v>
      </c>
      <c r="O390" s="84">
        <f>HKAEH5!F28</f>
        <v>5366.6</v>
      </c>
      <c r="P390" s="84">
        <f>HKAEH5!E28</f>
        <v>5552.7</v>
      </c>
      <c r="Q390" s="84">
        <f t="shared" si="816"/>
        <v>1</v>
      </c>
      <c r="R390" s="84">
        <f t="shared" ref="R390:R392" si="844">(P390-O390)*Q390</f>
        <v>186.09999999999945</v>
      </c>
      <c r="S390" s="84">
        <f>HKAEH5!K28</f>
        <v>2857.7</v>
      </c>
      <c r="T390" s="84">
        <f>HKAEH5!J28</f>
        <v>2990.9</v>
      </c>
      <c r="U390" s="84">
        <f>U389</f>
        <v>1</v>
      </c>
      <c r="V390" s="84">
        <f t="shared" ref="V390:V392" si="845">(T390-S390)*U390</f>
        <v>133.20000000000027</v>
      </c>
      <c r="W390" s="84"/>
      <c r="X390" s="84"/>
      <c r="Y390" s="85">
        <f t="shared" ref="Y390:Y392" si="846">N390/30/I390</f>
        <v>3.518888888888887</v>
      </c>
      <c r="Z390" s="84"/>
      <c r="AA390" s="82"/>
    </row>
    <row r="391" spans="1:27" s="40" customFormat="1" ht="39.950000000000003" hidden="1" customHeight="1" x14ac:dyDescent="0.25">
      <c r="A391" s="49">
        <v>22</v>
      </c>
      <c r="B391" s="50" t="str">
        <f t="shared" si="838"/>
        <v>H D Kote</v>
      </c>
      <c r="C391" s="50" t="str">
        <f t="shared" si="838"/>
        <v>HDKOTE/1714</v>
      </c>
      <c r="D391" s="50" t="str">
        <f t="shared" si="838"/>
        <v>DEVARAJ PRE-METRIC BOYS HOSTEL</v>
      </c>
      <c r="E391" s="50" t="str">
        <f t="shared" si="838"/>
        <v>HKAEH5</v>
      </c>
      <c r="F391" s="50">
        <f t="shared" si="838"/>
        <v>5</v>
      </c>
      <c r="G391" s="50" t="str">
        <f t="shared" si="838"/>
        <v>GOVT</v>
      </c>
      <c r="H391" s="50" t="str">
        <f t="shared" si="838"/>
        <v>IPDS</v>
      </c>
      <c r="I391" s="50">
        <f t="shared" si="838"/>
        <v>3</v>
      </c>
      <c r="J391" s="50" t="str">
        <f t="shared" si="838"/>
        <v>LT2</v>
      </c>
      <c r="K391" s="84">
        <f>HKAEH5!Q29</f>
        <v>5718.7</v>
      </c>
      <c r="L391" s="84">
        <f>HKAEH5!P29</f>
        <v>6027.5</v>
      </c>
      <c r="M391" s="84">
        <f t="shared" si="837"/>
        <v>1</v>
      </c>
      <c r="N391" s="84">
        <f t="shared" si="843"/>
        <v>308.80000000000018</v>
      </c>
      <c r="O391" s="84">
        <f>HKAEH5!F29</f>
        <v>5552.7</v>
      </c>
      <c r="P391" s="84">
        <f>HKAEH5!E29</f>
        <v>5971.8</v>
      </c>
      <c r="Q391" s="84">
        <f t="shared" si="816"/>
        <v>1</v>
      </c>
      <c r="R391" s="84">
        <f t="shared" si="844"/>
        <v>419.10000000000036</v>
      </c>
      <c r="S391" s="84">
        <f>HKAEH5!K29</f>
        <v>2990.9</v>
      </c>
      <c r="T391" s="84">
        <f>HKAEH5!J29</f>
        <v>3140.9</v>
      </c>
      <c r="U391" s="84">
        <f>U390</f>
        <v>1</v>
      </c>
      <c r="V391" s="84">
        <f t="shared" si="845"/>
        <v>150</v>
      </c>
      <c r="W391" s="84"/>
      <c r="X391" s="84"/>
      <c r="Y391" s="85">
        <f t="shared" si="846"/>
        <v>3.4311111111111132</v>
      </c>
      <c r="Z391" s="84"/>
      <c r="AA391" s="82"/>
    </row>
    <row r="392" spans="1:27" s="40" customFormat="1" ht="39.950000000000003" hidden="1" customHeight="1" x14ac:dyDescent="0.25">
      <c r="A392" s="49">
        <v>23</v>
      </c>
      <c r="B392" s="50" t="str">
        <f t="shared" si="838"/>
        <v>H D Kote</v>
      </c>
      <c r="C392" s="50" t="str">
        <f t="shared" si="838"/>
        <v>HDKOTE/1714</v>
      </c>
      <c r="D392" s="50" t="str">
        <f t="shared" si="838"/>
        <v>DEVARAJ PRE-METRIC BOYS HOSTEL</v>
      </c>
      <c r="E392" s="50" t="str">
        <f t="shared" si="838"/>
        <v>HKAEH5</v>
      </c>
      <c r="F392" s="50">
        <f t="shared" si="838"/>
        <v>5</v>
      </c>
      <c r="G392" s="50" t="str">
        <f t="shared" si="838"/>
        <v>GOVT</v>
      </c>
      <c r="H392" s="50" t="str">
        <f t="shared" si="838"/>
        <v>IPDS</v>
      </c>
      <c r="I392" s="50">
        <f t="shared" si="838"/>
        <v>3</v>
      </c>
      <c r="J392" s="50" t="str">
        <f t="shared" si="838"/>
        <v>LT2</v>
      </c>
      <c r="K392" s="84">
        <f>HKAEH5!Q31</f>
        <v>6027.5</v>
      </c>
      <c r="L392" s="84">
        <f>HKAEH5!P31</f>
        <v>6335.5</v>
      </c>
      <c r="M392" s="84">
        <f t="shared" si="837"/>
        <v>1</v>
      </c>
      <c r="N392" s="84">
        <f t="shared" si="843"/>
        <v>308</v>
      </c>
      <c r="O392" s="84">
        <f>HKAEH5!F31</f>
        <v>5971.8</v>
      </c>
      <c r="P392" s="84">
        <f>HKAEH5!E31</f>
        <v>6081.8</v>
      </c>
      <c r="Q392" s="84">
        <f t="shared" si="816"/>
        <v>1</v>
      </c>
      <c r="R392" s="84">
        <f t="shared" si="844"/>
        <v>110</v>
      </c>
      <c r="S392" s="84">
        <f>HKAEH5!K31</f>
        <v>3140.9</v>
      </c>
      <c r="T392" s="84">
        <f>HKAEH5!J31</f>
        <v>3325.9</v>
      </c>
      <c r="U392" s="84">
        <f>U391</f>
        <v>1</v>
      </c>
      <c r="V392" s="84">
        <f t="shared" si="845"/>
        <v>185</v>
      </c>
      <c r="W392" s="84"/>
      <c r="X392" s="84"/>
      <c r="Y392" s="85">
        <f t="shared" si="846"/>
        <v>3.4222222222222225</v>
      </c>
      <c r="Z392" s="84"/>
      <c r="AA392" s="82"/>
    </row>
    <row r="393" spans="1:27" s="40" customFormat="1" ht="39.950000000000003" hidden="1" customHeight="1" x14ac:dyDescent="0.25">
      <c r="A393" s="49">
        <v>24</v>
      </c>
      <c r="B393" s="50" t="str">
        <f t="shared" si="838"/>
        <v>H D Kote</v>
      </c>
      <c r="C393" s="50" t="str">
        <f t="shared" si="838"/>
        <v>HDKOTE/1714</v>
      </c>
      <c r="D393" s="50" t="str">
        <f t="shared" si="838"/>
        <v>DEVARAJ PRE-METRIC BOYS HOSTEL</v>
      </c>
      <c r="E393" s="50" t="str">
        <f t="shared" si="838"/>
        <v>HKAEH5</v>
      </c>
      <c r="F393" s="50">
        <f t="shared" si="838"/>
        <v>5</v>
      </c>
      <c r="G393" s="50" t="str">
        <f t="shared" si="838"/>
        <v>GOVT</v>
      </c>
      <c r="H393" s="50" t="str">
        <f t="shared" si="838"/>
        <v>IPDS</v>
      </c>
      <c r="I393" s="50">
        <f t="shared" si="838"/>
        <v>3</v>
      </c>
      <c r="J393" s="50" t="str">
        <f t="shared" si="838"/>
        <v>LT2</v>
      </c>
      <c r="K393" s="84">
        <f>HKAEH5!Q32</f>
        <v>6335.5</v>
      </c>
      <c r="L393" s="84">
        <f>HKAEH5!P32</f>
        <v>6644.5</v>
      </c>
      <c r="M393" s="84">
        <f t="shared" si="837"/>
        <v>1</v>
      </c>
      <c r="N393" s="84">
        <f t="shared" ref="N393:N396" si="847">(L393-K393)*M393</f>
        <v>309</v>
      </c>
      <c r="O393" s="84">
        <f>HKAEH5!F32</f>
        <v>6081.8</v>
      </c>
      <c r="P393" s="84">
        <f>HKAEH5!E32</f>
        <v>6192.8</v>
      </c>
      <c r="Q393" s="84">
        <f t="shared" si="816"/>
        <v>1</v>
      </c>
      <c r="R393" s="84">
        <f t="shared" ref="R393:R396" si="848">(P393-O393)*Q393</f>
        <v>111</v>
      </c>
      <c r="S393" s="84">
        <f>HKAEH5!K32</f>
        <v>3325.9</v>
      </c>
      <c r="T393" s="84">
        <f>HKAEH5!J32</f>
        <v>3511.9</v>
      </c>
      <c r="U393" s="84">
        <f>U392</f>
        <v>1</v>
      </c>
      <c r="V393" s="84">
        <f t="shared" ref="V393:V396" si="849">(T393-S393)*U393</f>
        <v>186</v>
      </c>
      <c r="W393" s="84"/>
      <c r="X393" s="84"/>
      <c r="Y393" s="85">
        <f t="shared" ref="Y393:Y396" si="850">N393/30/I393</f>
        <v>3.4333333333333336</v>
      </c>
      <c r="Z393" s="84"/>
      <c r="AA393" s="82"/>
    </row>
    <row r="394" spans="1:27" s="40" customFormat="1" ht="39.950000000000003" hidden="1" customHeight="1" x14ac:dyDescent="0.25">
      <c r="A394" s="49">
        <v>25</v>
      </c>
      <c r="B394" s="50" t="str">
        <f t="shared" ref="B394:J394" si="851">B393</f>
        <v>H D Kote</v>
      </c>
      <c r="C394" s="50" t="str">
        <f t="shared" si="851"/>
        <v>HDKOTE/1714</v>
      </c>
      <c r="D394" s="50" t="str">
        <f t="shared" si="851"/>
        <v>DEVARAJ PRE-METRIC BOYS HOSTEL</v>
      </c>
      <c r="E394" s="50" t="str">
        <f t="shared" si="851"/>
        <v>HKAEH5</v>
      </c>
      <c r="F394" s="50">
        <f t="shared" si="851"/>
        <v>5</v>
      </c>
      <c r="G394" s="50" t="str">
        <f t="shared" si="851"/>
        <v>GOVT</v>
      </c>
      <c r="H394" s="50" t="str">
        <f t="shared" si="851"/>
        <v>IPDS</v>
      </c>
      <c r="I394" s="50">
        <f t="shared" si="851"/>
        <v>3</v>
      </c>
      <c r="J394" s="50" t="str">
        <f t="shared" si="851"/>
        <v>LT2</v>
      </c>
      <c r="K394" s="84">
        <f>HKAEH5!Q33</f>
        <v>6644.5</v>
      </c>
      <c r="L394" s="84">
        <f>HKAEH5!P33</f>
        <v>6952.5</v>
      </c>
      <c r="M394" s="84">
        <f t="shared" si="837"/>
        <v>1</v>
      </c>
      <c r="N394" s="84">
        <f t="shared" si="847"/>
        <v>308</v>
      </c>
      <c r="O394" s="84">
        <f>HKAEH5!F33</f>
        <v>6192.8</v>
      </c>
      <c r="P394" s="84">
        <f>HKAEH5!E33</f>
        <v>6306.9</v>
      </c>
      <c r="Q394" s="84">
        <f t="shared" si="816"/>
        <v>1</v>
      </c>
      <c r="R394" s="84">
        <f t="shared" si="848"/>
        <v>114.09999999999945</v>
      </c>
      <c r="S394" s="84">
        <f>HKAEH5!K33</f>
        <v>3511.9</v>
      </c>
      <c r="T394" s="84">
        <f>HKAEH5!J33</f>
        <v>3706.4</v>
      </c>
      <c r="U394" s="84">
        <f t="shared" ref="U394:U401" si="852">U393</f>
        <v>1</v>
      </c>
      <c r="V394" s="84">
        <f t="shared" si="849"/>
        <v>194.5</v>
      </c>
      <c r="W394" s="84"/>
      <c r="X394" s="84"/>
      <c r="Y394" s="85">
        <f t="shared" si="850"/>
        <v>3.4222222222222225</v>
      </c>
      <c r="Z394" s="84"/>
      <c r="AA394" s="82"/>
    </row>
    <row r="395" spans="1:27" s="40" customFormat="1" ht="39.950000000000003" hidden="1" customHeight="1" x14ac:dyDescent="0.25">
      <c r="A395" s="49">
        <v>26</v>
      </c>
      <c r="B395" s="50" t="str">
        <f t="shared" ref="B395:J395" si="853">B394</f>
        <v>H D Kote</v>
      </c>
      <c r="C395" s="50" t="str">
        <f t="shared" si="853"/>
        <v>HDKOTE/1714</v>
      </c>
      <c r="D395" s="50" t="str">
        <f t="shared" si="853"/>
        <v>DEVARAJ PRE-METRIC BOYS HOSTEL</v>
      </c>
      <c r="E395" s="50" t="str">
        <f t="shared" si="853"/>
        <v>HKAEH5</v>
      </c>
      <c r="F395" s="50">
        <f t="shared" si="853"/>
        <v>5</v>
      </c>
      <c r="G395" s="50" t="str">
        <f t="shared" si="853"/>
        <v>GOVT</v>
      </c>
      <c r="H395" s="50" t="str">
        <f t="shared" si="853"/>
        <v>IPDS</v>
      </c>
      <c r="I395" s="50">
        <f t="shared" si="853"/>
        <v>3</v>
      </c>
      <c r="J395" s="50" t="str">
        <f t="shared" si="853"/>
        <v>LT2</v>
      </c>
      <c r="K395" s="84">
        <f>HKAEH5!Q34</f>
        <v>6952.5</v>
      </c>
      <c r="L395" s="84">
        <f>HKAEH5!P34</f>
        <v>7213</v>
      </c>
      <c r="M395" s="84">
        <f t="shared" si="837"/>
        <v>1</v>
      </c>
      <c r="N395" s="84">
        <f t="shared" si="847"/>
        <v>260.5</v>
      </c>
      <c r="O395" s="84">
        <f>HKAEH5!F34</f>
        <v>6306.9</v>
      </c>
      <c r="P395" s="84">
        <f>HKAEH5!E34</f>
        <v>6446</v>
      </c>
      <c r="Q395" s="84">
        <f t="shared" si="816"/>
        <v>1</v>
      </c>
      <c r="R395" s="84">
        <f t="shared" si="848"/>
        <v>139.10000000000036</v>
      </c>
      <c r="S395" s="84">
        <f>HKAEH5!K34</f>
        <v>3706.4</v>
      </c>
      <c r="T395" s="84">
        <f>HKAEH5!J34</f>
        <v>3859.6</v>
      </c>
      <c r="U395" s="84">
        <f t="shared" si="852"/>
        <v>1</v>
      </c>
      <c r="V395" s="84">
        <f t="shared" si="849"/>
        <v>153.19999999999982</v>
      </c>
      <c r="W395" s="84"/>
      <c r="X395" s="84"/>
      <c r="Y395" s="85">
        <f t="shared" si="850"/>
        <v>2.8944444444444444</v>
      </c>
      <c r="Z395" s="84"/>
      <c r="AA395" s="82"/>
    </row>
    <row r="396" spans="1:27" s="40" customFormat="1" ht="39.950000000000003" hidden="1" customHeight="1" x14ac:dyDescent="0.25">
      <c r="A396" s="49">
        <v>27</v>
      </c>
      <c r="B396" s="50" t="str">
        <f t="shared" ref="B396:J396" si="854">B395</f>
        <v>H D Kote</v>
      </c>
      <c r="C396" s="50" t="str">
        <f t="shared" si="854"/>
        <v>HDKOTE/1714</v>
      </c>
      <c r="D396" s="50" t="str">
        <f t="shared" si="854"/>
        <v>DEVARAJ PRE-METRIC BOYS HOSTEL</v>
      </c>
      <c r="E396" s="50" t="str">
        <f t="shared" si="854"/>
        <v>HKAEH5</v>
      </c>
      <c r="F396" s="50">
        <f t="shared" si="854"/>
        <v>5</v>
      </c>
      <c r="G396" s="50" t="str">
        <f t="shared" si="854"/>
        <v>GOVT</v>
      </c>
      <c r="H396" s="50" t="str">
        <f t="shared" si="854"/>
        <v>IPDS</v>
      </c>
      <c r="I396" s="50">
        <f t="shared" si="854"/>
        <v>3</v>
      </c>
      <c r="J396" s="50" t="str">
        <f t="shared" si="854"/>
        <v>LT2</v>
      </c>
      <c r="K396" s="84">
        <f>HKAEH5!Q35</f>
        <v>7213</v>
      </c>
      <c r="L396" s="84">
        <f>HKAEH5!P35</f>
        <v>7468</v>
      </c>
      <c r="M396" s="84">
        <f t="shared" si="837"/>
        <v>1</v>
      </c>
      <c r="N396" s="84">
        <f t="shared" si="847"/>
        <v>255</v>
      </c>
      <c r="O396" s="84">
        <f>HKAEH5!F35</f>
        <v>6446</v>
      </c>
      <c r="P396" s="84">
        <f>HKAEH5!E35</f>
        <v>6621.7</v>
      </c>
      <c r="Q396" s="84">
        <f t="shared" si="816"/>
        <v>1</v>
      </c>
      <c r="R396" s="84">
        <f t="shared" si="848"/>
        <v>175.69999999999982</v>
      </c>
      <c r="S396" s="84">
        <f>HKAEH5!K35</f>
        <v>3859.6</v>
      </c>
      <c r="T396" s="84">
        <f>HKAEH5!J35</f>
        <v>4009.8</v>
      </c>
      <c r="U396" s="84">
        <f t="shared" si="852"/>
        <v>1</v>
      </c>
      <c r="V396" s="84">
        <f t="shared" si="849"/>
        <v>150.20000000000027</v>
      </c>
      <c r="W396" s="84"/>
      <c r="X396" s="84"/>
      <c r="Y396" s="85">
        <f t="shared" si="850"/>
        <v>2.8333333333333335</v>
      </c>
      <c r="Z396" s="84"/>
      <c r="AA396" s="82"/>
    </row>
    <row r="397" spans="1:27" s="40" customFormat="1" ht="39.950000000000003" hidden="1" customHeight="1" x14ac:dyDescent="0.25">
      <c r="A397" s="49">
        <v>28</v>
      </c>
      <c r="B397" s="50" t="str">
        <f t="shared" ref="B397:J399" si="855">B396</f>
        <v>H D Kote</v>
      </c>
      <c r="C397" s="50" t="str">
        <f t="shared" si="855"/>
        <v>HDKOTE/1714</v>
      </c>
      <c r="D397" s="50" t="str">
        <f t="shared" si="855"/>
        <v>DEVARAJ PRE-METRIC BOYS HOSTEL</v>
      </c>
      <c r="E397" s="50" t="str">
        <f t="shared" si="855"/>
        <v>HKAEH5</v>
      </c>
      <c r="F397" s="50">
        <f t="shared" si="855"/>
        <v>5</v>
      </c>
      <c r="G397" s="50" t="str">
        <f t="shared" si="855"/>
        <v>GOVT</v>
      </c>
      <c r="H397" s="50" t="str">
        <f t="shared" si="855"/>
        <v>IPDS</v>
      </c>
      <c r="I397" s="50">
        <f t="shared" si="855"/>
        <v>3</v>
      </c>
      <c r="J397" s="50" t="str">
        <f t="shared" si="855"/>
        <v>LT2</v>
      </c>
      <c r="K397" s="84">
        <f>HKAEH5!Q36</f>
        <v>7468</v>
      </c>
      <c r="L397" s="84">
        <f>HKAEH5!P36</f>
        <v>7734.3</v>
      </c>
      <c r="M397" s="84">
        <f t="shared" si="837"/>
        <v>1</v>
      </c>
      <c r="N397" s="84">
        <f t="shared" ref="N397:N401" si="856">(L397-K397)*M397</f>
        <v>266.30000000000018</v>
      </c>
      <c r="O397" s="84">
        <f>HKAEH5!F36</f>
        <v>6621.7</v>
      </c>
      <c r="P397" s="84">
        <f>HKAEH5!E36</f>
        <v>6827.7</v>
      </c>
      <c r="Q397" s="84">
        <f t="shared" si="816"/>
        <v>1</v>
      </c>
      <c r="R397" s="84">
        <f t="shared" ref="R397:R401" si="857">(P397-O397)*Q397</f>
        <v>206</v>
      </c>
      <c r="S397" s="84">
        <f>HKAEH5!K36</f>
        <v>4009.8</v>
      </c>
      <c r="T397" s="84">
        <f>HKAEH5!J36</f>
        <v>4162.1000000000004</v>
      </c>
      <c r="U397" s="84">
        <f t="shared" si="852"/>
        <v>1</v>
      </c>
      <c r="V397" s="84">
        <f t="shared" ref="V397:V401" si="858">(T397-S397)*U397</f>
        <v>152.30000000000018</v>
      </c>
      <c r="W397" s="84">
        <f>HKAEH5!U36</f>
        <v>3.25</v>
      </c>
      <c r="X397" s="84">
        <f>HKAEH5!V36</f>
        <v>0.93</v>
      </c>
      <c r="Y397" s="85">
        <f t="shared" ref="Y397:Y401" si="859">N397/30/I397</f>
        <v>2.9588888888888909</v>
      </c>
      <c r="Z397" s="84"/>
      <c r="AA397" s="82"/>
    </row>
    <row r="398" spans="1:27" s="40" customFormat="1" ht="39.950000000000003" hidden="1" customHeight="1" x14ac:dyDescent="0.25">
      <c r="A398" s="49">
        <v>29</v>
      </c>
      <c r="B398" s="50" t="str">
        <f t="shared" ref="B398:J398" si="860">B397</f>
        <v>H D Kote</v>
      </c>
      <c r="C398" s="50" t="str">
        <f t="shared" si="860"/>
        <v>HDKOTE/1714</v>
      </c>
      <c r="D398" s="50" t="str">
        <f t="shared" si="860"/>
        <v>DEVARAJ PRE-METRIC BOYS HOSTEL</v>
      </c>
      <c r="E398" s="50" t="str">
        <f t="shared" si="860"/>
        <v>HKAEH5</v>
      </c>
      <c r="F398" s="50">
        <f t="shared" si="860"/>
        <v>5</v>
      </c>
      <c r="G398" s="50" t="str">
        <f t="shared" si="860"/>
        <v>GOVT</v>
      </c>
      <c r="H398" s="50" t="str">
        <f t="shared" si="860"/>
        <v>IPDS</v>
      </c>
      <c r="I398" s="50">
        <f t="shared" si="860"/>
        <v>3</v>
      </c>
      <c r="J398" s="50" t="str">
        <f t="shared" si="860"/>
        <v>LT2</v>
      </c>
      <c r="K398" s="84">
        <f>HKAEH5!Q37</f>
        <v>7734.3</v>
      </c>
      <c r="L398" s="84">
        <f>HKAEH5!P37</f>
        <v>8059.5</v>
      </c>
      <c r="M398" s="84">
        <f t="shared" si="837"/>
        <v>1</v>
      </c>
      <c r="N398" s="84">
        <f t="shared" si="856"/>
        <v>325.19999999999982</v>
      </c>
      <c r="O398" s="84">
        <f>HKAEH5!F37</f>
        <v>6827.7</v>
      </c>
      <c r="P398" s="84">
        <f>HKAEH5!E37</f>
        <v>6976.66</v>
      </c>
      <c r="Q398" s="84">
        <f t="shared" si="816"/>
        <v>1</v>
      </c>
      <c r="R398" s="84">
        <f t="shared" si="857"/>
        <v>148.96000000000004</v>
      </c>
      <c r="S398" s="84">
        <f>HKAEH5!K37</f>
        <v>4162.1000000000004</v>
      </c>
      <c r="T398" s="84">
        <f>HKAEH5!J37</f>
        <v>4342.1000000000004</v>
      </c>
      <c r="U398" s="84">
        <f t="shared" si="852"/>
        <v>1</v>
      </c>
      <c r="V398" s="84">
        <f t="shared" si="858"/>
        <v>180</v>
      </c>
      <c r="W398" s="84">
        <f>HKAEH5!U37</f>
        <v>2.99</v>
      </c>
      <c r="X398" s="84">
        <f>HKAEH5!V37</f>
        <v>0.84</v>
      </c>
      <c r="Y398" s="85">
        <f t="shared" si="859"/>
        <v>3.6133333333333315</v>
      </c>
      <c r="Z398" s="84"/>
      <c r="AA398" s="82"/>
    </row>
    <row r="399" spans="1:27" s="40" customFormat="1" ht="39.950000000000003" customHeight="1" x14ac:dyDescent="0.25">
      <c r="A399" s="49">
        <v>30</v>
      </c>
      <c r="B399" s="50" t="str">
        <f t="shared" si="855"/>
        <v>H D Kote</v>
      </c>
      <c r="C399" s="50" t="str">
        <f t="shared" si="855"/>
        <v>HDKOTE/1714</v>
      </c>
      <c r="D399" s="50" t="str">
        <f t="shared" si="855"/>
        <v>DEVARAJ PRE-METRIC BOYS HOSTEL</v>
      </c>
      <c r="E399" s="50" t="str">
        <f t="shared" si="855"/>
        <v>HKAEH5</v>
      </c>
      <c r="F399" s="50">
        <f t="shared" si="855"/>
        <v>5</v>
      </c>
      <c r="G399" s="50" t="str">
        <f t="shared" si="855"/>
        <v>GOVT</v>
      </c>
      <c r="H399" s="50" t="str">
        <f t="shared" si="855"/>
        <v>IPDS</v>
      </c>
      <c r="I399" s="50">
        <f t="shared" si="855"/>
        <v>3</v>
      </c>
      <c r="J399" s="50" t="str">
        <f t="shared" si="855"/>
        <v>LT2</v>
      </c>
      <c r="K399" s="84">
        <f>HKAEH5!Q38</f>
        <v>8059.5</v>
      </c>
      <c r="L399" s="84">
        <f>HKAEH5!P38</f>
        <v>8237.9</v>
      </c>
      <c r="M399" s="84">
        <f t="shared" si="837"/>
        <v>1</v>
      </c>
      <c r="N399" s="84">
        <f t="shared" ref="N399" si="861">(L399-K399)*M399</f>
        <v>178.39999999999964</v>
      </c>
      <c r="O399" s="84">
        <f>HKAEH5!F38</f>
        <v>6976.66</v>
      </c>
      <c r="P399" s="84">
        <f>HKAEH5!E38</f>
        <v>7203.7</v>
      </c>
      <c r="Q399" s="84">
        <f t="shared" si="816"/>
        <v>1</v>
      </c>
      <c r="R399" s="84">
        <f t="shared" ref="R399" si="862">(P399-O399)*Q399</f>
        <v>227.03999999999996</v>
      </c>
      <c r="S399" s="84">
        <f>HKAEH5!K38</f>
        <v>4342.1000000000004</v>
      </c>
      <c r="T399" s="84">
        <f>HKAEH5!J38</f>
        <v>4463.8999999999996</v>
      </c>
      <c r="U399" s="84">
        <f t="shared" si="852"/>
        <v>1</v>
      </c>
      <c r="V399" s="84">
        <f t="shared" ref="V399" si="863">(T399-S399)*U399</f>
        <v>121.79999999999927</v>
      </c>
      <c r="W399" s="84">
        <f>HKAEH5!U38</f>
        <v>4.08</v>
      </c>
      <c r="X399" s="84">
        <f>HKAEH5!V38</f>
        <v>0.91</v>
      </c>
      <c r="Y399" s="85">
        <f t="shared" si="859"/>
        <v>1.9822222222222183</v>
      </c>
      <c r="Z399" s="84"/>
      <c r="AA399" s="82"/>
    </row>
    <row r="400" spans="1:27" s="40" customFormat="1" ht="39.950000000000003" hidden="1" customHeight="1" x14ac:dyDescent="0.25">
      <c r="A400" s="49">
        <v>31</v>
      </c>
      <c r="B400" s="50" t="str">
        <f t="shared" ref="B400:J400" si="864">B399</f>
        <v>H D Kote</v>
      </c>
      <c r="C400" s="50" t="str">
        <f t="shared" si="864"/>
        <v>HDKOTE/1714</v>
      </c>
      <c r="D400" s="50" t="str">
        <f t="shared" si="864"/>
        <v>DEVARAJ PRE-METRIC BOYS HOSTEL</v>
      </c>
      <c r="E400" s="50" t="str">
        <f t="shared" si="864"/>
        <v>HKAEH5</v>
      </c>
      <c r="F400" s="50">
        <f t="shared" si="864"/>
        <v>5</v>
      </c>
      <c r="G400" s="50" t="str">
        <f t="shared" si="864"/>
        <v>GOVT</v>
      </c>
      <c r="H400" s="50" t="str">
        <f t="shared" si="864"/>
        <v>IPDS</v>
      </c>
      <c r="I400" s="50">
        <f t="shared" si="864"/>
        <v>3</v>
      </c>
      <c r="J400" s="50" t="str">
        <f t="shared" si="864"/>
        <v>LT2</v>
      </c>
      <c r="K400" s="84">
        <f>HKAEH5!Q39</f>
        <v>8237.9</v>
      </c>
      <c r="L400" s="84">
        <f>HKAEH5!P39</f>
        <v>8497.1</v>
      </c>
      <c r="M400" s="84">
        <f t="shared" si="837"/>
        <v>1</v>
      </c>
      <c r="N400" s="84">
        <f t="shared" si="856"/>
        <v>259.20000000000073</v>
      </c>
      <c r="O400" s="84">
        <f>HKAEH5!F39</f>
        <v>7203.7</v>
      </c>
      <c r="P400" s="84">
        <f>HKAEH5!E39</f>
        <v>7623.8</v>
      </c>
      <c r="Q400" s="84">
        <f t="shared" si="816"/>
        <v>1</v>
      </c>
      <c r="R400" s="84">
        <f t="shared" si="857"/>
        <v>420.10000000000036</v>
      </c>
      <c r="S400" s="84">
        <f>HKAEH5!K39</f>
        <v>4463.8999999999996</v>
      </c>
      <c r="T400" s="84">
        <f>HKAEH5!J39</f>
        <v>4627.2</v>
      </c>
      <c r="U400" s="84">
        <f t="shared" si="852"/>
        <v>1</v>
      </c>
      <c r="V400" s="84">
        <f t="shared" si="858"/>
        <v>163.30000000000018</v>
      </c>
      <c r="W400" s="84"/>
      <c r="X400" s="84"/>
      <c r="Y400" s="85">
        <f t="shared" si="859"/>
        <v>2.8800000000000079</v>
      </c>
      <c r="Z400" s="84"/>
      <c r="AA400" s="82"/>
    </row>
    <row r="401" spans="1:27" s="40" customFormat="1" ht="39.950000000000003" hidden="1" customHeight="1" x14ac:dyDescent="0.25">
      <c r="A401" s="49">
        <v>32</v>
      </c>
      <c r="B401" s="50" t="str">
        <f t="shared" ref="B401:J401" si="865">B400</f>
        <v>H D Kote</v>
      </c>
      <c r="C401" s="50" t="str">
        <f t="shared" si="865"/>
        <v>HDKOTE/1714</v>
      </c>
      <c r="D401" s="50" t="str">
        <f t="shared" si="865"/>
        <v>DEVARAJ PRE-METRIC BOYS HOSTEL</v>
      </c>
      <c r="E401" s="50" t="str">
        <f t="shared" si="865"/>
        <v>HKAEH5</v>
      </c>
      <c r="F401" s="50">
        <f t="shared" si="865"/>
        <v>5</v>
      </c>
      <c r="G401" s="50" t="str">
        <f t="shared" si="865"/>
        <v>GOVT</v>
      </c>
      <c r="H401" s="50" t="str">
        <f t="shared" si="865"/>
        <v>IPDS</v>
      </c>
      <c r="I401" s="50">
        <f t="shared" si="865"/>
        <v>3</v>
      </c>
      <c r="J401" s="50" t="str">
        <f t="shared" si="865"/>
        <v>LT2</v>
      </c>
      <c r="K401" s="84">
        <f>HKAEH5!Q40</f>
        <v>8497.1</v>
      </c>
      <c r="L401" s="84">
        <f>HKAEH5!P40</f>
        <v>8791.7999999999993</v>
      </c>
      <c r="M401" s="84">
        <f t="shared" si="837"/>
        <v>1</v>
      </c>
      <c r="N401" s="84">
        <f t="shared" si="856"/>
        <v>294.69999999999891</v>
      </c>
      <c r="O401" s="84">
        <f>HKAEH5!F40</f>
        <v>7623.8</v>
      </c>
      <c r="P401" s="84">
        <f>HKAEH5!E40</f>
        <v>7942</v>
      </c>
      <c r="Q401" s="84">
        <f t="shared" si="816"/>
        <v>1</v>
      </c>
      <c r="R401" s="84">
        <f t="shared" si="857"/>
        <v>318.19999999999982</v>
      </c>
      <c r="S401" s="84">
        <f>HKAEH5!K40</f>
        <v>4627.2</v>
      </c>
      <c r="T401" s="84">
        <f>HKAEH5!J40</f>
        <v>4823.3999999999996</v>
      </c>
      <c r="U401" s="84">
        <f t="shared" si="852"/>
        <v>1</v>
      </c>
      <c r="V401" s="84">
        <f t="shared" si="858"/>
        <v>196.19999999999982</v>
      </c>
      <c r="W401" s="84"/>
      <c r="X401" s="84"/>
      <c r="Y401" s="85">
        <f t="shared" si="859"/>
        <v>3.2744444444444323</v>
      </c>
      <c r="Z401" s="84"/>
      <c r="AA401" s="82"/>
    </row>
    <row r="402" spans="1:27" s="40" customFormat="1" ht="39.950000000000003" hidden="1" customHeight="1" x14ac:dyDescent="0.25">
      <c r="A402" s="49"/>
      <c r="B402" s="50"/>
      <c r="C402" s="50"/>
      <c r="D402" s="50"/>
      <c r="E402" s="50"/>
      <c r="F402" s="50"/>
      <c r="G402" s="50"/>
      <c r="H402" s="50"/>
      <c r="I402" s="50"/>
      <c r="J402" s="50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5"/>
      <c r="Z402" s="84"/>
      <c r="AA402" s="82"/>
    </row>
    <row r="403" spans="1:27" s="40" customFormat="1" ht="39.950000000000003" hidden="1" customHeight="1" x14ac:dyDescent="0.25">
      <c r="A403" s="49">
        <v>1</v>
      </c>
      <c r="B403" s="50" t="s">
        <v>43</v>
      </c>
      <c r="C403" s="56" t="s">
        <v>229</v>
      </c>
      <c r="D403" s="59" t="s">
        <v>182</v>
      </c>
      <c r="E403" s="55" t="s">
        <v>186</v>
      </c>
      <c r="F403" s="50">
        <v>0.24</v>
      </c>
      <c r="G403" s="49" t="s">
        <v>221</v>
      </c>
      <c r="H403" s="64" t="s">
        <v>222</v>
      </c>
      <c r="I403" s="49">
        <v>3</v>
      </c>
      <c r="J403" s="49" t="s">
        <v>224</v>
      </c>
      <c r="K403" s="84">
        <f>'HKL891'!Q8</f>
        <v>29618.400000000001</v>
      </c>
      <c r="L403" s="84">
        <f>'HKL891'!P8</f>
        <v>29905</v>
      </c>
      <c r="M403" s="84">
        <f>'[1]April-18'!M18</f>
        <v>1</v>
      </c>
      <c r="N403" s="84">
        <f t="shared" si="0"/>
        <v>286.59999999999854</v>
      </c>
      <c r="O403" s="84">
        <f>'HKL891'!F8</f>
        <v>268.39999999999998</v>
      </c>
      <c r="P403" s="84">
        <f>'HKL891'!E8</f>
        <v>656.7</v>
      </c>
      <c r="Q403" s="84">
        <v>1</v>
      </c>
      <c r="R403" s="84">
        <f t="shared" si="683"/>
        <v>388.30000000000007</v>
      </c>
      <c r="S403" s="84">
        <f>'HKL891'!K8</f>
        <v>147.19999999999999</v>
      </c>
      <c r="T403" s="84">
        <f>'HKL891'!J8</f>
        <v>289.8</v>
      </c>
      <c r="U403" s="84">
        <f>'[1]April-18'!U18</f>
        <v>1</v>
      </c>
      <c r="V403" s="84">
        <f t="shared" si="684"/>
        <v>142.60000000000002</v>
      </c>
      <c r="W403" s="84"/>
      <c r="X403" s="84"/>
      <c r="Y403" s="85">
        <f t="shared" si="87"/>
        <v>3.1844444444444284</v>
      </c>
      <c r="Z403" s="84"/>
      <c r="AA403" s="82" t="str">
        <f>'HKL891'!B8</f>
        <v>01.08.2019</v>
      </c>
    </row>
    <row r="404" spans="1:27" s="40" customFormat="1" ht="39.950000000000003" hidden="1" customHeight="1" x14ac:dyDescent="0.25">
      <c r="A404" s="49">
        <v>2</v>
      </c>
      <c r="B404" s="50" t="str">
        <f>B403</f>
        <v>H D Kote</v>
      </c>
      <c r="C404" s="50" t="str">
        <f t="shared" ref="C404:J405" si="866">C403</f>
        <v>HDKOTE/1714</v>
      </c>
      <c r="D404" s="50" t="str">
        <f t="shared" si="866"/>
        <v>GOVT  PRE-METRIC GIRLS HOSTEL</v>
      </c>
      <c r="E404" s="50" t="str">
        <f t="shared" si="866"/>
        <v>HKL891</v>
      </c>
      <c r="F404" s="50">
        <f t="shared" si="866"/>
        <v>0.24</v>
      </c>
      <c r="G404" s="50" t="str">
        <f t="shared" si="866"/>
        <v>GOVT</v>
      </c>
      <c r="H404" s="50" t="str">
        <f t="shared" si="866"/>
        <v>IPDS</v>
      </c>
      <c r="I404" s="50">
        <f t="shared" si="866"/>
        <v>3</v>
      </c>
      <c r="J404" s="50" t="str">
        <f t="shared" si="866"/>
        <v>LT 3</v>
      </c>
      <c r="K404" s="84">
        <f>'HKL891'!Q9</f>
        <v>29905</v>
      </c>
      <c r="L404" s="84">
        <f>'HKL891'!P9</f>
        <v>30118</v>
      </c>
      <c r="M404" s="84">
        <f>'[1]April-18'!M19</f>
        <v>1</v>
      </c>
      <c r="N404" s="84">
        <f t="shared" si="0"/>
        <v>213</v>
      </c>
      <c r="O404" s="84">
        <f>'HKL891'!F9</f>
        <v>656.7</v>
      </c>
      <c r="P404" s="84">
        <f>'HKL891'!E9</f>
        <v>1053.7</v>
      </c>
      <c r="Q404" s="84">
        <f>Q403</f>
        <v>1</v>
      </c>
      <c r="R404" s="84">
        <f t="shared" si="683"/>
        <v>397</v>
      </c>
      <c r="S404" s="84">
        <f>'HKL891'!K9</f>
        <v>289.8</v>
      </c>
      <c r="T404" s="84">
        <f>'HKL891'!J9</f>
        <v>397</v>
      </c>
      <c r="U404" s="84">
        <f>'[1]April-18'!U19</f>
        <v>1</v>
      </c>
      <c r="V404" s="84">
        <f t="shared" si="684"/>
        <v>107.19999999999999</v>
      </c>
      <c r="W404" s="84"/>
      <c r="X404" s="84"/>
      <c r="Y404" s="85">
        <f t="shared" si="87"/>
        <v>2.3666666666666667</v>
      </c>
      <c r="Z404" s="84"/>
      <c r="AA404" s="82" t="str">
        <f>'HKL891'!B9</f>
        <v>01.09.2019</v>
      </c>
    </row>
    <row r="405" spans="1:27" s="40" customFormat="1" ht="39.950000000000003" hidden="1" customHeight="1" x14ac:dyDescent="0.25">
      <c r="A405" s="49">
        <v>3</v>
      </c>
      <c r="B405" s="50" t="str">
        <f>B404</f>
        <v>H D Kote</v>
      </c>
      <c r="C405" s="50" t="str">
        <f t="shared" si="866"/>
        <v>HDKOTE/1714</v>
      </c>
      <c r="D405" s="50" t="str">
        <f t="shared" si="866"/>
        <v>GOVT  PRE-METRIC GIRLS HOSTEL</v>
      </c>
      <c r="E405" s="50" t="str">
        <f t="shared" si="866"/>
        <v>HKL891</v>
      </c>
      <c r="F405" s="50">
        <f t="shared" si="866"/>
        <v>0.24</v>
      </c>
      <c r="G405" s="50" t="str">
        <f t="shared" si="866"/>
        <v>GOVT</v>
      </c>
      <c r="H405" s="50" t="str">
        <f t="shared" si="866"/>
        <v>IPDS</v>
      </c>
      <c r="I405" s="50">
        <f t="shared" si="866"/>
        <v>3</v>
      </c>
      <c r="J405" s="50" t="str">
        <f t="shared" si="866"/>
        <v>LT 3</v>
      </c>
      <c r="K405" s="84">
        <f>'HKL891'!Q10</f>
        <v>30118</v>
      </c>
      <c r="L405" s="84">
        <f>'HKL891'!P10</f>
        <v>30337</v>
      </c>
      <c r="M405" s="84">
        <f>'[1]April-18'!M20</f>
        <v>1</v>
      </c>
      <c r="N405" s="84">
        <f t="shared" si="0"/>
        <v>219</v>
      </c>
      <c r="O405" s="84">
        <f>'HKL891'!F10</f>
        <v>1053.7</v>
      </c>
      <c r="P405" s="84">
        <f>'HKL891'!E10</f>
        <v>1421.5</v>
      </c>
      <c r="Q405" s="84">
        <f>Q404</f>
        <v>1</v>
      </c>
      <c r="R405" s="84">
        <f t="shared" si="683"/>
        <v>367.79999999999995</v>
      </c>
      <c r="S405" s="84">
        <f>'HKL891'!K10</f>
        <v>397</v>
      </c>
      <c r="T405" s="84">
        <f>'HKL891'!J10</f>
        <v>534.79999999999995</v>
      </c>
      <c r="U405" s="84">
        <f>'[1]April-18'!U20</f>
        <v>1</v>
      </c>
      <c r="V405" s="84">
        <f t="shared" si="684"/>
        <v>137.79999999999995</v>
      </c>
      <c r="W405" s="84"/>
      <c r="X405" s="84"/>
      <c r="Y405" s="85">
        <f t="shared" si="87"/>
        <v>2.4333333333333331</v>
      </c>
      <c r="Z405" s="84"/>
      <c r="AA405" s="82" t="str">
        <f>'HKL891'!B10</f>
        <v>01.10.2019</v>
      </c>
    </row>
    <row r="406" spans="1:27" s="40" customFormat="1" ht="39.950000000000003" hidden="1" customHeight="1" x14ac:dyDescent="0.25">
      <c r="A406" s="49">
        <v>4</v>
      </c>
      <c r="B406" s="50" t="str">
        <f t="shared" ref="B406:J409" si="867">B405</f>
        <v>H D Kote</v>
      </c>
      <c r="C406" s="50" t="str">
        <f t="shared" si="867"/>
        <v>HDKOTE/1714</v>
      </c>
      <c r="D406" s="50" t="str">
        <f t="shared" si="867"/>
        <v>GOVT  PRE-METRIC GIRLS HOSTEL</v>
      </c>
      <c r="E406" s="50" t="str">
        <f t="shared" si="867"/>
        <v>HKL891</v>
      </c>
      <c r="F406" s="50">
        <f t="shared" si="867"/>
        <v>0.24</v>
      </c>
      <c r="G406" s="50" t="str">
        <f t="shared" si="867"/>
        <v>GOVT</v>
      </c>
      <c r="H406" s="50" t="str">
        <f t="shared" si="867"/>
        <v>IPDS</v>
      </c>
      <c r="I406" s="50">
        <f t="shared" si="867"/>
        <v>3</v>
      </c>
      <c r="J406" s="50" t="str">
        <f t="shared" si="867"/>
        <v>LT 3</v>
      </c>
      <c r="K406" s="84">
        <f>'HKL891'!Q11</f>
        <v>30337</v>
      </c>
      <c r="L406" s="84">
        <f>'HKL891'!P11</f>
        <v>30584</v>
      </c>
      <c r="M406" s="84">
        <f>'[1]April-18'!M21</f>
        <v>1</v>
      </c>
      <c r="N406" s="84">
        <f t="shared" si="0"/>
        <v>247</v>
      </c>
      <c r="O406" s="84">
        <f>'HKL891'!F11</f>
        <v>1421.5</v>
      </c>
      <c r="P406" s="84">
        <f>'HKL891'!E11</f>
        <v>1699.2</v>
      </c>
      <c r="Q406" s="84">
        <f t="shared" ref="Q406:Q433" si="868">Q405</f>
        <v>1</v>
      </c>
      <c r="R406" s="84">
        <f t="shared" si="683"/>
        <v>277.70000000000005</v>
      </c>
      <c r="S406" s="84">
        <f>'HKL891'!K11</f>
        <v>534.79999999999995</v>
      </c>
      <c r="T406" s="84">
        <f>'HKL891'!J11</f>
        <v>705</v>
      </c>
      <c r="U406" s="84">
        <f>'[1]April-18'!U21</f>
        <v>1</v>
      </c>
      <c r="V406" s="84">
        <f t="shared" si="684"/>
        <v>170.20000000000005</v>
      </c>
      <c r="W406" s="84"/>
      <c r="X406" s="84"/>
      <c r="Y406" s="85">
        <f t="shared" si="87"/>
        <v>2.744444444444444</v>
      </c>
      <c r="Z406" s="84"/>
      <c r="AA406" s="82" t="str">
        <f>'HKL891'!B11</f>
        <v>01.11.2019</v>
      </c>
    </row>
    <row r="407" spans="1:27" s="40" customFormat="1" ht="39.950000000000003" hidden="1" customHeight="1" x14ac:dyDescent="0.25">
      <c r="A407" s="49">
        <v>5</v>
      </c>
      <c r="B407" s="50" t="str">
        <f t="shared" si="867"/>
        <v>H D Kote</v>
      </c>
      <c r="C407" s="50" t="str">
        <f t="shared" si="867"/>
        <v>HDKOTE/1714</v>
      </c>
      <c r="D407" s="50" t="str">
        <f t="shared" si="867"/>
        <v>GOVT  PRE-METRIC GIRLS HOSTEL</v>
      </c>
      <c r="E407" s="50" t="str">
        <f t="shared" si="867"/>
        <v>HKL891</v>
      </c>
      <c r="F407" s="50">
        <f t="shared" si="867"/>
        <v>0.24</v>
      </c>
      <c r="G407" s="50" t="str">
        <f t="shared" si="867"/>
        <v>GOVT</v>
      </c>
      <c r="H407" s="50" t="str">
        <f t="shared" si="867"/>
        <v>IPDS</v>
      </c>
      <c r="I407" s="50">
        <f t="shared" si="867"/>
        <v>3</v>
      </c>
      <c r="J407" s="50" t="str">
        <f t="shared" si="867"/>
        <v>LT 3</v>
      </c>
      <c r="K407" s="84">
        <f>'HKL891'!Q12</f>
        <v>30584</v>
      </c>
      <c r="L407" s="84">
        <f>'HKL891'!P12</f>
        <v>30734.7</v>
      </c>
      <c r="M407" s="84">
        <f>'[1]April-18'!M22</f>
        <v>1</v>
      </c>
      <c r="N407" s="84">
        <f t="shared" si="0"/>
        <v>150.70000000000073</v>
      </c>
      <c r="O407" s="84">
        <f>'HKL891'!F12</f>
        <v>1699.2</v>
      </c>
      <c r="P407" s="84">
        <f>'HKL891'!E12</f>
        <v>2060.6</v>
      </c>
      <c r="Q407" s="84">
        <f t="shared" si="868"/>
        <v>1</v>
      </c>
      <c r="R407" s="84">
        <f t="shared" si="683"/>
        <v>361.39999999999986</v>
      </c>
      <c r="S407" s="84">
        <f>'HKL891'!K12</f>
        <v>705</v>
      </c>
      <c r="T407" s="84">
        <f>'HKL891'!J12</f>
        <v>764.9</v>
      </c>
      <c r="U407" s="84">
        <f>'[1]April-18'!U22</f>
        <v>1</v>
      </c>
      <c r="V407" s="84">
        <f t="shared" si="684"/>
        <v>59.899999999999977</v>
      </c>
      <c r="W407" s="84"/>
      <c r="X407" s="84"/>
      <c r="Y407" s="85">
        <f t="shared" si="87"/>
        <v>1.6744444444444524</v>
      </c>
      <c r="Z407" s="84"/>
      <c r="AA407" s="82" t="str">
        <f>'HKL891'!B12</f>
        <v>01.12.2019</v>
      </c>
    </row>
    <row r="408" spans="1:27" s="40" customFormat="1" ht="39.950000000000003" hidden="1" customHeight="1" x14ac:dyDescent="0.25">
      <c r="A408" s="49">
        <v>6</v>
      </c>
      <c r="B408" s="50" t="str">
        <f t="shared" si="867"/>
        <v>H D Kote</v>
      </c>
      <c r="C408" s="50" t="str">
        <f t="shared" si="867"/>
        <v>HDKOTE/1714</v>
      </c>
      <c r="D408" s="50" t="str">
        <f t="shared" si="867"/>
        <v>GOVT  PRE-METRIC GIRLS HOSTEL</v>
      </c>
      <c r="E408" s="50" t="str">
        <f t="shared" si="867"/>
        <v>HKL891</v>
      </c>
      <c r="F408" s="50">
        <f t="shared" si="867"/>
        <v>0.24</v>
      </c>
      <c r="G408" s="50" t="str">
        <f t="shared" si="867"/>
        <v>GOVT</v>
      </c>
      <c r="H408" s="50" t="str">
        <f t="shared" si="867"/>
        <v>IPDS</v>
      </c>
      <c r="I408" s="50">
        <f t="shared" si="867"/>
        <v>3</v>
      </c>
      <c r="J408" s="50" t="str">
        <f t="shared" si="867"/>
        <v>LT 3</v>
      </c>
      <c r="K408" s="84">
        <f>'HKL891'!Q13</f>
        <v>30734.7</v>
      </c>
      <c r="L408" s="84">
        <f>'HKL891'!P13</f>
        <v>30789</v>
      </c>
      <c r="M408" s="84">
        <f>'[1]April-18'!M23</f>
        <v>1</v>
      </c>
      <c r="N408" s="84">
        <f t="shared" si="0"/>
        <v>54.299999999999272</v>
      </c>
      <c r="O408" s="84">
        <f>'HKL891'!F13</f>
        <v>2060.6</v>
      </c>
      <c r="P408" s="84">
        <f>'HKL891'!E13</f>
        <v>2466</v>
      </c>
      <c r="Q408" s="84">
        <f t="shared" si="868"/>
        <v>1</v>
      </c>
      <c r="R408" s="84">
        <f t="shared" si="683"/>
        <v>405.40000000000009</v>
      </c>
      <c r="S408" s="84">
        <f>'HKL891'!K13</f>
        <v>764.9</v>
      </c>
      <c r="T408" s="84">
        <f>'HKL891'!J13</f>
        <v>779</v>
      </c>
      <c r="U408" s="84">
        <f>'[1]April-18'!U23</f>
        <v>1</v>
      </c>
      <c r="V408" s="84">
        <f t="shared" si="684"/>
        <v>14.100000000000023</v>
      </c>
      <c r="W408" s="84"/>
      <c r="X408" s="84"/>
      <c r="Y408" s="85">
        <f t="shared" si="87"/>
        <v>0.60333333333332528</v>
      </c>
      <c r="Z408" s="84" t="s">
        <v>250</v>
      </c>
      <c r="AA408" s="82" t="str">
        <f>'HKL891'!B13</f>
        <v>01.01.2020</v>
      </c>
    </row>
    <row r="409" spans="1:27" s="40" customFormat="1" ht="39.950000000000003" hidden="1" customHeight="1" x14ac:dyDescent="0.25">
      <c r="A409" s="49">
        <v>7</v>
      </c>
      <c r="B409" s="50" t="str">
        <f t="shared" si="867"/>
        <v>H D Kote</v>
      </c>
      <c r="C409" s="50" t="str">
        <f t="shared" si="867"/>
        <v>HDKOTE/1714</v>
      </c>
      <c r="D409" s="50" t="str">
        <f t="shared" si="867"/>
        <v>GOVT  PRE-METRIC GIRLS HOSTEL</v>
      </c>
      <c r="E409" s="50" t="str">
        <f t="shared" si="867"/>
        <v>HKL891</v>
      </c>
      <c r="F409" s="50">
        <f t="shared" si="867"/>
        <v>0.24</v>
      </c>
      <c r="G409" s="50" t="str">
        <f t="shared" si="867"/>
        <v>GOVT</v>
      </c>
      <c r="H409" s="50" t="str">
        <f t="shared" si="867"/>
        <v>IPDS</v>
      </c>
      <c r="I409" s="50">
        <f t="shared" si="867"/>
        <v>3</v>
      </c>
      <c r="J409" s="50" t="str">
        <f t="shared" si="867"/>
        <v>LT 3</v>
      </c>
      <c r="K409" s="84">
        <f>'HKL891'!Q14</f>
        <v>30789</v>
      </c>
      <c r="L409" s="84">
        <f>'HKL891'!P14</f>
        <v>30790.7</v>
      </c>
      <c r="M409" s="84">
        <f>'[1]April-18'!M24</f>
        <v>1</v>
      </c>
      <c r="N409" s="84">
        <f t="shared" si="0"/>
        <v>1.7000000000007276</v>
      </c>
      <c r="O409" s="84">
        <f>'HKL891'!F14</f>
        <v>2466</v>
      </c>
      <c r="P409" s="84">
        <f>'HKL891'!E14</f>
        <v>2938.6</v>
      </c>
      <c r="Q409" s="84">
        <f t="shared" si="868"/>
        <v>1</v>
      </c>
      <c r="R409" s="84">
        <f t="shared" si="683"/>
        <v>472.59999999999991</v>
      </c>
      <c r="S409" s="84">
        <f>'HKL891'!K14</f>
        <v>779</v>
      </c>
      <c r="T409" s="84">
        <f>'HKL891'!J14</f>
        <v>779.5</v>
      </c>
      <c r="U409" s="84">
        <f>'[1]April-18'!U24</f>
        <v>1</v>
      </c>
      <c r="V409" s="84">
        <f t="shared" si="684"/>
        <v>0.5</v>
      </c>
      <c r="W409" s="84"/>
      <c r="X409" s="84"/>
      <c r="Y409" s="85">
        <f t="shared" si="87"/>
        <v>1.8888888888896973E-2</v>
      </c>
      <c r="Z409" s="84" t="s">
        <v>250</v>
      </c>
      <c r="AA409" s="82" t="s">
        <v>253</v>
      </c>
    </row>
    <row r="410" spans="1:27" s="40" customFormat="1" ht="39.950000000000003" hidden="1" customHeight="1" x14ac:dyDescent="0.25">
      <c r="A410" s="49">
        <v>8</v>
      </c>
      <c r="B410" s="50" t="str">
        <f t="shared" ref="B410:J410" si="869">B409</f>
        <v>H D Kote</v>
      </c>
      <c r="C410" s="50" t="str">
        <f t="shared" si="869"/>
        <v>HDKOTE/1714</v>
      </c>
      <c r="D410" s="50" t="str">
        <f t="shared" si="869"/>
        <v>GOVT  PRE-METRIC GIRLS HOSTEL</v>
      </c>
      <c r="E410" s="50" t="str">
        <f t="shared" si="869"/>
        <v>HKL891</v>
      </c>
      <c r="F410" s="50">
        <f t="shared" si="869"/>
        <v>0.24</v>
      </c>
      <c r="G410" s="50" t="str">
        <f t="shared" si="869"/>
        <v>GOVT</v>
      </c>
      <c r="H410" s="50" t="str">
        <f t="shared" si="869"/>
        <v>IPDS</v>
      </c>
      <c r="I410" s="50">
        <f t="shared" si="869"/>
        <v>3</v>
      </c>
      <c r="J410" s="50" t="str">
        <f t="shared" si="869"/>
        <v>LT 3</v>
      </c>
      <c r="K410" s="84">
        <f>'HKL891'!Q15</f>
        <v>30790.7</v>
      </c>
      <c r="L410" s="84">
        <f>'HKL891'!P15</f>
        <v>30791</v>
      </c>
      <c r="M410" s="84">
        <f>'[1]April-18'!M25</f>
        <v>1</v>
      </c>
      <c r="N410" s="84">
        <f t="shared" ref="N410:N415" si="870">(L410-K410)*M410</f>
        <v>0.2999999999992724</v>
      </c>
      <c r="O410" s="84">
        <f>'HKL891'!F15</f>
        <v>2938.6</v>
      </c>
      <c r="P410" s="84">
        <f>'HKL891'!E15</f>
        <v>3353</v>
      </c>
      <c r="Q410" s="84">
        <f t="shared" si="868"/>
        <v>1</v>
      </c>
      <c r="R410" s="84">
        <f t="shared" ref="R410:R415" si="871">(P410-O410)*Q410</f>
        <v>414.40000000000009</v>
      </c>
      <c r="S410" s="84">
        <f>'HKL891'!K15</f>
        <v>779.5</v>
      </c>
      <c r="T410" s="84">
        <f>'HKL891'!J15</f>
        <v>779.5</v>
      </c>
      <c r="U410" s="84">
        <f>'[1]April-18'!U25</f>
        <v>1</v>
      </c>
      <c r="V410" s="84">
        <f t="shared" ref="V410:V415" si="872">(T410-S410)*U410</f>
        <v>0</v>
      </c>
      <c r="W410" s="84"/>
      <c r="X410" s="84"/>
      <c r="Y410" s="85">
        <f t="shared" ref="Y410:Y415" si="873">N410/30/I410</f>
        <v>3.3333333333252489E-3</v>
      </c>
      <c r="Z410" s="84"/>
      <c r="AA410" s="82" t="s">
        <v>254</v>
      </c>
    </row>
    <row r="411" spans="1:27" s="40" customFormat="1" ht="39.950000000000003" hidden="1" customHeight="1" x14ac:dyDescent="0.25">
      <c r="A411" s="49">
        <v>9</v>
      </c>
      <c r="B411" s="50" t="str">
        <f t="shared" ref="B411:J411" si="874">B410</f>
        <v>H D Kote</v>
      </c>
      <c r="C411" s="50" t="str">
        <f t="shared" si="874"/>
        <v>HDKOTE/1714</v>
      </c>
      <c r="D411" s="50" t="str">
        <f t="shared" si="874"/>
        <v>GOVT  PRE-METRIC GIRLS HOSTEL</v>
      </c>
      <c r="E411" s="50" t="str">
        <f t="shared" si="874"/>
        <v>HKL891</v>
      </c>
      <c r="F411" s="50">
        <f t="shared" si="874"/>
        <v>0.24</v>
      </c>
      <c r="G411" s="50" t="str">
        <f t="shared" si="874"/>
        <v>GOVT</v>
      </c>
      <c r="H411" s="50" t="str">
        <f t="shared" si="874"/>
        <v>IPDS</v>
      </c>
      <c r="I411" s="50">
        <f t="shared" si="874"/>
        <v>3</v>
      </c>
      <c r="J411" s="50" t="str">
        <f t="shared" si="874"/>
        <v>LT 3</v>
      </c>
      <c r="K411" s="84">
        <f>'HKL891'!Q16</f>
        <v>30791</v>
      </c>
      <c r="L411" s="84">
        <f>'HKL891'!P16</f>
        <v>30792</v>
      </c>
      <c r="M411" s="84">
        <f>M410</f>
        <v>1</v>
      </c>
      <c r="N411" s="84">
        <f t="shared" si="870"/>
        <v>1</v>
      </c>
      <c r="O411" s="84">
        <f>'HKL891'!F16</f>
        <v>3353</v>
      </c>
      <c r="P411" s="84">
        <f>'HKL891'!E16</f>
        <v>3685</v>
      </c>
      <c r="Q411" s="84">
        <f t="shared" si="868"/>
        <v>1</v>
      </c>
      <c r="R411" s="84">
        <f t="shared" si="871"/>
        <v>332</v>
      </c>
      <c r="S411" s="84">
        <f>'HKL891'!K16</f>
        <v>779.5</v>
      </c>
      <c r="T411" s="84">
        <f>'HKL891'!J16</f>
        <v>779.5</v>
      </c>
      <c r="U411" s="84">
        <f>U410</f>
        <v>1</v>
      </c>
      <c r="V411" s="84">
        <f t="shared" si="872"/>
        <v>0</v>
      </c>
      <c r="W411" s="84"/>
      <c r="X411" s="84"/>
      <c r="Y411" s="85">
        <f t="shared" si="873"/>
        <v>1.1111111111111112E-2</v>
      </c>
      <c r="Z411" s="84"/>
      <c r="AA411" s="82" t="s">
        <v>258</v>
      </c>
    </row>
    <row r="412" spans="1:27" s="40" customFormat="1" ht="39.950000000000003" hidden="1" customHeight="1" x14ac:dyDescent="0.25">
      <c r="A412" s="49">
        <v>10</v>
      </c>
      <c r="B412" s="50" t="str">
        <f t="shared" ref="B412:J412" si="875">B411</f>
        <v>H D Kote</v>
      </c>
      <c r="C412" s="50" t="str">
        <f t="shared" si="875"/>
        <v>HDKOTE/1714</v>
      </c>
      <c r="D412" s="50" t="str">
        <f t="shared" si="875"/>
        <v>GOVT  PRE-METRIC GIRLS HOSTEL</v>
      </c>
      <c r="E412" s="50" t="str">
        <f t="shared" si="875"/>
        <v>HKL891</v>
      </c>
      <c r="F412" s="50">
        <f t="shared" si="875"/>
        <v>0.24</v>
      </c>
      <c r="G412" s="50" t="str">
        <f t="shared" si="875"/>
        <v>GOVT</v>
      </c>
      <c r="H412" s="50" t="str">
        <f t="shared" si="875"/>
        <v>IPDS</v>
      </c>
      <c r="I412" s="50">
        <f t="shared" si="875"/>
        <v>3</v>
      </c>
      <c r="J412" s="50" t="str">
        <f t="shared" si="875"/>
        <v>LT 3</v>
      </c>
      <c r="K412" s="84">
        <f>'HKL891'!Q17</f>
        <v>0</v>
      </c>
      <c r="L412" s="84">
        <f>'HKL891'!P17</f>
        <v>0</v>
      </c>
      <c r="M412" s="84">
        <f>M411</f>
        <v>1</v>
      </c>
      <c r="N412" s="84">
        <f t="shared" si="870"/>
        <v>0</v>
      </c>
      <c r="O412" s="84">
        <f>'HKL891'!F17</f>
        <v>0</v>
      </c>
      <c r="P412" s="84">
        <f>'HKL891'!E17</f>
        <v>0</v>
      </c>
      <c r="Q412" s="84">
        <f t="shared" si="868"/>
        <v>1</v>
      </c>
      <c r="R412" s="84">
        <f t="shared" si="871"/>
        <v>0</v>
      </c>
      <c r="S412" s="84">
        <f>'HKL891'!K17</f>
        <v>0</v>
      </c>
      <c r="T412" s="84">
        <f>'HKL891'!J17</f>
        <v>0</v>
      </c>
      <c r="U412" s="84">
        <f>U411</f>
        <v>1</v>
      </c>
      <c r="V412" s="84">
        <f t="shared" si="872"/>
        <v>0</v>
      </c>
      <c r="W412" s="84"/>
      <c r="X412" s="84"/>
      <c r="Y412" s="85">
        <f t="shared" si="873"/>
        <v>0</v>
      </c>
      <c r="Z412" s="84"/>
      <c r="AA412" s="82"/>
    </row>
    <row r="413" spans="1:27" s="40" customFormat="1" ht="39.950000000000003" hidden="1" customHeight="1" x14ac:dyDescent="0.25">
      <c r="A413" s="49">
        <v>11</v>
      </c>
      <c r="B413" s="50" t="str">
        <f t="shared" ref="B413:J413" si="876">B412</f>
        <v>H D Kote</v>
      </c>
      <c r="C413" s="50" t="str">
        <f t="shared" si="876"/>
        <v>HDKOTE/1714</v>
      </c>
      <c r="D413" s="50" t="str">
        <f t="shared" si="876"/>
        <v>GOVT  PRE-METRIC GIRLS HOSTEL</v>
      </c>
      <c r="E413" s="50" t="str">
        <f t="shared" si="876"/>
        <v>HKL891</v>
      </c>
      <c r="F413" s="50">
        <f t="shared" si="876"/>
        <v>0.24</v>
      </c>
      <c r="G413" s="50" t="str">
        <f t="shared" si="876"/>
        <v>GOVT</v>
      </c>
      <c r="H413" s="50" t="str">
        <f t="shared" si="876"/>
        <v>IPDS</v>
      </c>
      <c r="I413" s="50">
        <f t="shared" si="876"/>
        <v>3</v>
      </c>
      <c r="J413" s="50" t="str">
        <f t="shared" si="876"/>
        <v>LT 3</v>
      </c>
      <c r="K413" s="84">
        <f>'HKL891'!Q18</f>
        <v>30792</v>
      </c>
      <c r="L413" s="84">
        <f>'HKL891'!P18</f>
        <v>30793</v>
      </c>
      <c r="M413" s="84">
        <f>M412</f>
        <v>1</v>
      </c>
      <c r="N413" s="84">
        <f t="shared" si="870"/>
        <v>1</v>
      </c>
      <c r="O413" s="84">
        <f>'HKL891'!F18</f>
        <v>3685</v>
      </c>
      <c r="P413" s="84">
        <f>'HKL891'!E18</f>
        <v>3991.5</v>
      </c>
      <c r="Q413" s="84">
        <f t="shared" si="868"/>
        <v>1</v>
      </c>
      <c r="R413" s="84">
        <f t="shared" si="871"/>
        <v>306.5</v>
      </c>
      <c r="S413" s="84">
        <f>'HKL891'!K18</f>
        <v>779.5</v>
      </c>
      <c r="T413" s="84">
        <f>'HKL891'!J18</f>
        <v>779.5</v>
      </c>
      <c r="U413" s="84">
        <f>U412</f>
        <v>1</v>
      </c>
      <c r="V413" s="84">
        <f t="shared" si="872"/>
        <v>0</v>
      </c>
      <c r="W413" s="84"/>
      <c r="X413" s="84"/>
      <c r="Y413" s="85">
        <f t="shared" si="873"/>
        <v>1.1111111111111112E-2</v>
      </c>
      <c r="Z413" s="84"/>
      <c r="AA413" s="82" t="s">
        <v>259</v>
      </c>
    </row>
    <row r="414" spans="1:27" s="40" customFormat="1" ht="39.950000000000003" hidden="1" customHeight="1" x14ac:dyDescent="0.25">
      <c r="A414" s="49">
        <v>12</v>
      </c>
      <c r="B414" s="50" t="str">
        <f t="shared" ref="B414:J414" si="877">B413</f>
        <v>H D Kote</v>
      </c>
      <c r="C414" s="50" t="str">
        <f t="shared" si="877"/>
        <v>HDKOTE/1714</v>
      </c>
      <c r="D414" s="50" t="str">
        <f t="shared" si="877"/>
        <v>GOVT  PRE-METRIC GIRLS HOSTEL</v>
      </c>
      <c r="E414" s="50" t="str">
        <f t="shared" si="877"/>
        <v>HKL891</v>
      </c>
      <c r="F414" s="50">
        <f t="shared" si="877"/>
        <v>0.24</v>
      </c>
      <c r="G414" s="50" t="str">
        <f t="shared" si="877"/>
        <v>GOVT</v>
      </c>
      <c r="H414" s="50" t="str">
        <f t="shared" si="877"/>
        <v>IPDS</v>
      </c>
      <c r="I414" s="50">
        <f t="shared" si="877"/>
        <v>3</v>
      </c>
      <c r="J414" s="50" t="str">
        <f t="shared" si="877"/>
        <v>LT 3</v>
      </c>
      <c r="K414" s="84">
        <f>'HKL891'!Q19</f>
        <v>30793</v>
      </c>
      <c r="L414" s="84">
        <f>'HKL891'!P19</f>
        <v>30794.5</v>
      </c>
      <c r="M414" s="84">
        <f>'[1]April-18'!M29</f>
        <v>1</v>
      </c>
      <c r="N414" s="84">
        <f t="shared" si="870"/>
        <v>1.5</v>
      </c>
      <c r="O414" s="84">
        <f>'HKL891'!F19</f>
        <v>3991.5</v>
      </c>
      <c r="P414" s="84">
        <f>'HKL891'!E19</f>
        <v>4205.7</v>
      </c>
      <c r="Q414" s="84">
        <f t="shared" si="868"/>
        <v>1</v>
      </c>
      <c r="R414" s="84">
        <f t="shared" si="871"/>
        <v>214.19999999999982</v>
      </c>
      <c r="S414" s="84">
        <f>'HKL891'!K19</f>
        <v>779.5</v>
      </c>
      <c r="T414" s="84">
        <f>'HKL891'!J19</f>
        <v>779.5</v>
      </c>
      <c r="U414" s="84">
        <f>'[1]April-18'!U29</f>
        <v>1</v>
      </c>
      <c r="V414" s="84">
        <f t="shared" si="872"/>
        <v>0</v>
      </c>
      <c r="W414" s="84"/>
      <c r="X414" s="84"/>
      <c r="Y414" s="85">
        <f t="shared" si="873"/>
        <v>1.6666666666666666E-2</v>
      </c>
      <c r="Z414" s="84"/>
      <c r="AA414" s="82" t="s">
        <v>263</v>
      </c>
    </row>
    <row r="415" spans="1:27" s="40" customFormat="1" ht="39.950000000000003" hidden="1" customHeight="1" x14ac:dyDescent="0.25">
      <c r="A415" s="49">
        <v>13</v>
      </c>
      <c r="B415" s="50" t="str">
        <f t="shared" ref="B415:J415" si="878">B414</f>
        <v>H D Kote</v>
      </c>
      <c r="C415" s="50" t="str">
        <f t="shared" si="878"/>
        <v>HDKOTE/1714</v>
      </c>
      <c r="D415" s="50" t="str">
        <f t="shared" si="878"/>
        <v>GOVT  PRE-METRIC GIRLS HOSTEL</v>
      </c>
      <c r="E415" s="50" t="str">
        <f t="shared" si="878"/>
        <v>HKL891</v>
      </c>
      <c r="F415" s="50">
        <f t="shared" si="878"/>
        <v>0.24</v>
      </c>
      <c r="G415" s="50" t="str">
        <f t="shared" si="878"/>
        <v>GOVT</v>
      </c>
      <c r="H415" s="50" t="str">
        <f t="shared" si="878"/>
        <v>IPDS</v>
      </c>
      <c r="I415" s="50">
        <f t="shared" si="878"/>
        <v>3</v>
      </c>
      <c r="J415" s="50" t="str">
        <f t="shared" si="878"/>
        <v>LT 3</v>
      </c>
      <c r="K415" s="84">
        <f>'HKL891'!Q20</f>
        <v>30794.5</v>
      </c>
      <c r="L415" s="84">
        <f>'HKL891'!P20</f>
        <v>30794.5</v>
      </c>
      <c r="M415" s="84">
        <f>'[1]April-18'!M30</f>
        <v>1</v>
      </c>
      <c r="N415" s="84">
        <f t="shared" si="870"/>
        <v>0</v>
      </c>
      <c r="O415" s="84">
        <f>'HKL891'!F20</f>
        <v>4205.7</v>
      </c>
      <c r="P415" s="84">
        <f>'HKL891'!E20</f>
        <v>4428.6000000000004</v>
      </c>
      <c r="Q415" s="84">
        <f t="shared" si="868"/>
        <v>1</v>
      </c>
      <c r="R415" s="84">
        <f t="shared" si="871"/>
        <v>222.90000000000055</v>
      </c>
      <c r="S415" s="84">
        <f>'HKL891'!K20</f>
        <v>779.5</v>
      </c>
      <c r="T415" s="84">
        <f>'HKL891'!J20</f>
        <v>779.5</v>
      </c>
      <c r="U415" s="84">
        <f>'[1]April-18'!U30</f>
        <v>1</v>
      </c>
      <c r="V415" s="84">
        <f t="shared" si="872"/>
        <v>0</v>
      </c>
      <c r="W415" s="84"/>
      <c r="X415" s="84"/>
      <c r="Y415" s="85">
        <f t="shared" si="873"/>
        <v>0</v>
      </c>
      <c r="Z415" s="84"/>
      <c r="AA415" s="82" t="s">
        <v>265</v>
      </c>
    </row>
    <row r="416" spans="1:27" s="40" customFormat="1" ht="39.950000000000003" hidden="1" customHeight="1" x14ac:dyDescent="0.25">
      <c r="A416" s="49">
        <v>14</v>
      </c>
      <c r="B416" s="50" t="str">
        <f t="shared" ref="B416:J416" si="879">B415</f>
        <v>H D Kote</v>
      </c>
      <c r="C416" s="50" t="str">
        <f t="shared" si="879"/>
        <v>HDKOTE/1714</v>
      </c>
      <c r="D416" s="50" t="str">
        <f t="shared" si="879"/>
        <v>GOVT  PRE-METRIC GIRLS HOSTEL</v>
      </c>
      <c r="E416" s="50" t="str">
        <f t="shared" si="879"/>
        <v>HKL891</v>
      </c>
      <c r="F416" s="50">
        <f t="shared" si="879"/>
        <v>0.24</v>
      </c>
      <c r="G416" s="50" t="str">
        <f t="shared" si="879"/>
        <v>GOVT</v>
      </c>
      <c r="H416" s="50" t="str">
        <f t="shared" si="879"/>
        <v>IPDS</v>
      </c>
      <c r="I416" s="50">
        <f t="shared" si="879"/>
        <v>3</v>
      </c>
      <c r="J416" s="50" t="str">
        <f t="shared" si="879"/>
        <v>LT 3</v>
      </c>
      <c r="K416" s="84">
        <f>'HKL891'!Q21</f>
        <v>30794.5</v>
      </c>
      <c r="L416" s="84">
        <f>'HKL891'!P21</f>
        <v>30796.6</v>
      </c>
      <c r="M416" s="84">
        <f>'[1]April-18'!M31</f>
        <v>1</v>
      </c>
      <c r="N416" s="84">
        <f t="shared" ref="N416:N423" si="880">(L416-K416)*M416</f>
        <v>2.0999999999985448</v>
      </c>
      <c r="O416" s="84">
        <f>'HKL891'!F21</f>
        <v>4428.6000000000004</v>
      </c>
      <c r="P416" s="84">
        <f>'HKL891'!E21</f>
        <v>4632</v>
      </c>
      <c r="Q416" s="84">
        <f t="shared" si="868"/>
        <v>1</v>
      </c>
      <c r="R416" s="84">
        <f t="shared" ref="R416:R423" si="881">(P416-O416)*Q416</f>
        <v>203.39999999999964</v>
      </c>
      <c r="S416" s="84">
        <f>'HKL891'!K21</f>
        <v>779.5</v>
      </c>
      <c r="T416" s="84">
        <f>'HKL891'!J21</f>
        <v>779.5</v>
      </c>
      <c r="U416" s="84">
        <f>'[1]April-18'!U31</f>
        <v>1</v>
      </c>
      <c r="V416" s="84">
        <f t="shared" ref="V416:V423" si="882">(T416-S416)*U416</f>
        <v>0</v>
      </c>
      <c r="W416" s="84"/>
      <c r="X416" s="84"/>
      <c r="Y416" s="85">
        <f t="shared" ref="Y416:Y423" si="883">N416/30/I416</f>
        <v>2.3333333333317163E-2</v>
      </c>
      <c r="Z416" s="84"/>
      <c r="AA416" s="82"/>
    </row>
    <row r="417" spans="1:27" s="40" customFormat="1" ht="39.950000000000003" hidden="1" customHeight="1" x14ac:dyDescent="0.25">
      <c r="A417" s="49">
        <v>15</v>
      </c>
      <c r="B417" s="50" t="str">
        <f t="shared" ref="B417:J417" si="884">B416</f>
        <v>H D Kote</v>
      </c>
      <c r="C417" s="50" t="str">
        <f t="shared" si="884"/>
        <v>HDKOTE/1714</v>
      </c>
      <c r="D417" s="50" t="str">
        <f t="shared" si="884"/>
        <v>GOVT  PRE-METRIC GIRLS HOSTEL</v>
      </c>
      <c r="E417" s="50" t="str">
        <f t="shared" si="884"/>
        <v>HKL891</v>
      </c>
      <c r="F417" s="50">
        <f t="shared" si="884"/>
        <v>0.24</v>
      </c>
      <c r="G417" s="50" t="str">
        <f t="shared" si="884"/>
        <v>GOVT</v>
      </c>
      <c r="H417" s="50" t="str">
        <f t="shared" si="884"/>
        <v>IPDS</v>
      </c>
      <c r="I417" s="50">
        <f t="shared" si="884"/>
        <v>3</v>
      </c>
      <c r="J417" s="50" t="str">
        <f t="shared" si="884"/>
        <v>LT 3</v>
      </c>
      <c r="K417" s="84">
        <f>'HKL891'!Q22</f>
        <v>30796.6</v>
      </c>
      <c r="L417" s="84">
        <f>'HKL891'!P22</f>
        <v>30797.8</v>
      </c>
      <c r="M417" s="84">
        <f>'[1]April-18'!M32</f>
        <v>1</v>
      </c>
      <c r="N417" s="84">
        <f t="shared" si="880"/>
        <v>1.2000000000007276</v>
      </c>
      <c r="O417" s="84">
        <f>'HKL891'!F22</f>
        <v>4632</v>
      </c>
      <c r="P417" s="84">
        <f>'HKL891'!E22</f>
        <v>4778.5</v>
      </c>
      <c r="Q417" s="84">
        <f t="shared" si="868"/>
        <v>1</v>
      </c>
      <c r="R417" s="84">
        <f t="shared" si="881"/>
        <v>146.5</v>
      </c>
      <c r="S417" s="84">
        <f>'HKL891'!K22</f>
        <v>779.5</v>
      </c>
      <c r="T417" s="84">
        <f>'HKL891'!J22</f>
        <v>779.5</v>
      </c>
      <c r="U417" s="84">
        <f>'[1]April-18'!U32</f>
        <v>1</v>
      </c>
      <c r="V417" s="84">
        <f t="shared" si="882"/>
        <v>0</v>
      </c>
      <c r="W417" s="84"/>
      <c r="X417" s="84"/>
      <c r="Y417" s="85">
        <f t="shared" si="883"/>
        <v>1.3333333333341418E-2</v>
      </c>
      <c r="Z417" s="84"/>
      <c r="AA417" s="82"/>
    </row>
    <row r="418" spans="1:27" s="40" customFormat="1" ht="39.950000000000003" hidden="1" customHeight="1" x14ac:dyDescent="0.25">
      <c r="A418" s="49">
        <v>16</v>
      </c>
      <c r="B418" s="50" t="str">
        <f t="shared" ref="B418:J418" si="885">B417</f>
        <v>H D Kote</v>
      </c>
      <c r="C418" s="50" t="str">
        <f t="shared" si="885"/>
        <v>HDKOTE/1714</v>
      </c>
      <c r="D418" s="50" t="str">
        <f t="shared" si="885"/>
        <v>GOVT  PRE-METRIC GIRLS HOSTEL</v>
      </c>
      <c r="E418" s="50" t="str">
        <f t="shared" si="885"/>
        <v>HKL891</v>
      </c>
      <c r="F418" s="50">
        <f t="shared" si="885"/>
        <v>0.24</v>
      </c>
      <c r="G418" s="50" t="str">
        <f t="shared" si="885"/>
        <v>GOVT</v>
      </c>
      <c r="H418" s="50" t="str">
        <f t="shared" si="885"/>
        <v>IPDS</v>
      </c>
      <c r="I418" s="50">
        <f t="shared" si="885"/>
        <v>3</v>
      </c>
      <c r="J418" s="50" t="str">
        <f t="shared" si="885"/>
        <v>LT 3</v>
      </c>
      <c r="K418" s="84">
        <f>'HKL891'!Q23</f>
        <v>30797.8</v>
      </c>
      <c r="L418" s="84">
        <f>'HKL891'!P23</f>
        <v>30800</v>
      </c>
      <c r="M418" s="84">
        <f>M417</f>
        <v>1</v>
      </c>
      <c r="N418" s="84">
        <f t="shared" si="880"/>
        <v>2.2000000000007276</v>
      </c>
      <c r="O418" s="84">
        <f>'HKL891'!F23</f>
        <v>4778.5</v>
      </c>
      <c r="P418" s="84">
        <f>'HKL891'!E23</f>
        <v>4943</v>
      </c>
      <c r="Q418" s="84">
        <f t="shared" si="868"/>
        <v>1</v>
      </c>
      <c r="R418" s="84">
        <f t="shared" si="881"/>
        <v>164.5</v>
      </c>
      <c r="S418" s="84">
        <f>'HKL891'!K23</f>
        <v>779.5</v>
      </c>
      <c r="T418" s="84">
        <f>'HKL891'!J23</f>
        <v>779.5</v>
      </c>
      <c r="U418" s="84">
        <f>U417</f>
        <v>1</v>
      </c>
      <c r="V418" s="84">
        <f t="shared" si="882"/>
        <v>0</v>
      </c>
      <c r="W418" s="84"/>
      <c r="X418" s="84"/>
      <c r="Y418" s="85">
        <f t="shared" si="883"/>
        <v>2.444444444445253E-2</v>
      </c>
      <c r="Z418" s="84"/>
      <c r="AA418" s="82"/>
    </row>
    <row r="419" spans="1:27" s="40" customFormat="1" ht="39.950000000000003" hidden="1" customHeight="1" x14ac:dyDescent="0.25">
      <c r="A419" s="93">
        <v>17</v>
      </c>
      <c r="B419" s="50" t="str">
        <f t="shared" ref="B419:J419" si="886">B418</f>
        <v>H D Kote</v>
      </c>
      <c r="C419" s="50" t="str">
        <f t="shared" si="886"/>
        <v>HDKOTE/1714</v>
      </c>
      <c r="D419" s="50" t="str">
        <f t="shared" si="886"/>
        <v>GOVT  PRE-METRIC GIRLS HOSTEL</v>
      </c>
      <c r="E419" s="50" t="str">
        <f t="shared" si="886"/>
        <v>HKL891</v>
      </c>
      <c r="F419" s="50">
        <f t="shared" si="886"/>
        <v>0.24</v>
      </c>
      <c r="G419" s="50" t="str">
        <f t="shared" si="886"/>
        <v>GOVT</v>
      </c>
      <c r="H419" s="50" t="str">
        <f t="shared" si="886"/>
        <v>IPDS</v>
      </c>
      <c r="I419" s="50">
        <f t="shared" si="886"/>
        <v>3</v>
      </c>
      <c r="J419" s="50" t="str">
        <f t="shared" si="886"/>
        <v>LT 3</v>
      </c>
      <c r="K419" s="84">
        <f>'HKL891'!Q24</f>
        <v>30800</v>
      </c>
      <c r="L419" s="84">
        <f>'HKL891'!P24</f>
        <v>30802</v>
      </c>
      <c r="M419" s="84">
        <f>'[1]April-18'!M34</f>
        <v>1</v>
      </c>
      <c r="N419" s="84">
        <f t="shared" si="880"/>
        <v>2</v>
      </c>
      <c r="O419" s="84">
        <f>'HKL891'!F24</f>
        <v>4943</v>
      </c>
      <c r="P419" s="84">
        <f>'HKL891'!E24</f>
        <v>5115.1000000000004</v>
      </c>
      <c r="Q419" s="84">
        <f t="shared" si="868"/>
        <v>1</v>
      </c>
      <c r="R419" s="84">
        <f t="shared" si="881"/>
        <v>172.10000000000036</v>
      </c>
      <c r="S419" s="84">
        <f>'HKL891'!K24</f>
        <v>779.5</v>
      </c>
      <c r="T419" s="84">
        <f>'HKL891'!J24</f>
        <v>779.5</v>
      </c>
      <c r="U419" s="84">
        <f>'[1]April-18'!U34</f>
        <v>1</v>
      </c>
      <c r="V419" s="84">
        <f t="shared" si="882"/>
        <v>0</v>
      </c>
      <c r="W419" s="84"/>
      <c r="X419" s="84"/>
      <c r="Y419" s="85">
        <f t="shared" si="883"/>
        <v>2.2222222222222223E-2</v>
      </c>
      <c r="Z419" s="84"/>
      <c r="AA419" s="82"/>
    </row>
    <row r="420" spans="1:27" s="40" customFormat="1" ht="39.950000000000003" hidden="1" customHeight="1" x14ac:dyDescent="0.25">
      <c r="A420" s="94">
        <v>18</v>
      </c>
      <c r="B420" s="50" t="str">
        <f t="shared" ref="B420:J420" si="887">B419</f>
        <v>H D Kote</v>
      </c>
      <c r="C420" s="50" t="str">
        <f t="shared" si="887"/>
        <v>HDKOTE/1714</v>
      </c>
      <c r="D420" s="50" t="str">
        <f t="shared" si="887"/>
        <v>GOVT  PRE-METRIC GIRLS HOSTEL</v>
      </c>
      <c r="E420" s="50" t="str">
        <f t="shared" si="887"/>
        <v>HKL891</v>
      </c>
      <c r="F420" s="50">
        <f t="shared" si="887"/>
        <v>0.24</v>
      </c>
      <c r="G420" s="50" t="str">
        <f t="shared" si="887"/>
        <v>GOVT</v>
      </c>
      <c r="H420" s="50" t="str">
        <f t="shared" si="887"/>
        <v>IPDS</v>
      </c>
      <c r="I420" s="50">
        <f t="shared" si="887"/>
        <v>3</v>
      </c>
      <c r="J420" s="50" t="str">
        <f t="shared" si="887"/>
        <v>LT 3</v>
      </c>
      <c r="K420" s="84">
        <f>'HKL891'!Q25</f>
        <v>30802</v>
      </c>
      <c r="L420" s="84">
        <f>'HKL891'!P25</f>
        <v>30802</v>
      </c>
      <c r="M420" s="84">
        <f>M419</f>
        <v>1</v>
      </c>
      <c r="N420" s="84">
        <f t="shared" si="880"/>
        <v>0</v>
      </c>
      <c r="O420" s="84">
        <f>'HKL891'!F25</f>
        <v>5115.1000000000004</v>
      </c>
      <c r="P420" s="84">
        <f>'HKL891'!E25</f>
        <v>5265.8</v>
      </c>
      <c r="Q420" s="84">
        <f t="shared" si="868"/>
        <v>1</v>
      </c>
      <c r="R420" s="84">
        <f t="shared" si="881"/>
        <v>150.69999999999982</v>
      </c>
      <c r="S420" s="84">
        <f>'HKL891'!K25</f>
        <v>779.5</v>
      </c>
      <c r="T420" s="84">
        <f>'HKL891'!J25</f>
        <v>779.5</v>
      </c>
      <c r="U420" s="84">
        <f>'[1]April-18'!U35</f>
        <v>1</v>
      </c>
      <c r="V420" s="84">
        <f t="shared" si="882"/>
        <v>0</v>
      </c>
      <c r="W420" s="84"/>
      <c r="X420" s="84"/>
      <c r="Y420" s="85">
        <f t="shared" si="883"/>
        <v>0</v>
      </c>
      <c r="Z420" s="84"/>
      <c r="AA420" s="82"/>
    </row>
    <row r="421" spans="1:27" s="40" customFormat="1" ht="39.950000000000003" hidden="1" customHeight="1" x14ac:dyDescent="0.25">
      <c r="A421" s="95">
        <v>19</v>
      </c>
      <c r="B421" s="50" t="str">
        <f t="shared" ref="B421:J421" si="888">B420</f>
        <v>H D Kote</v>
      </c>
      <c r="C421" s="50" t="str">
        <f t="shared" si="888"/>
        <v>HDKOTE/1714</v>
      </c>
      <c r="D421" s="50" t="str">
        <f t="shared" si="888"/>
        <v>GOVT  PRE-METRIC GIRLS HOSTEL</v>
      </c>
      <c r="E421" s="50" t="str">
        <f t="shared" si="888"/>
        <v>HKL891</v>
      </c>
      <c r="F421" s="50">
        <f t="shared" si="888"/>
        <v>0.24</v>
      </c>
      <c r="G421" s="50" t="str">
        <f t="shared" si="888"/>
        <v>GOVT</v>
      </c>
      <c r="H421" s="50" t="str">
        <f t="shared" si="888"/>
        <v>IPDS</v>
      </c>
      <c r="I421" s="50">
        <f t="shared" si="888"/>
        <v>3</v>
      </c>
      <c r="J421" s="50" t="str">
        <f t="shared" si="888"/>
        <v>LT 3</v>
      </c>
      <c r="K421" s="84">
        <f>'HKL891'!Q26</f>
        <v>30802</v>
      </c>
      <c r="L421" s="84">
        <f>'HKL891'!P26</f>
        <v>30867</v>
      </c>
      <c r="M421" s="84">
        <f>'[1]April-18'!M36</f>
        <v>1</v>
      </c>
      <c r="N421" s="84">
        <f t="shared" si="880"/>
        <v>65</v>
      </c>
      <c r="O421" s="84">
        <f>'HKL891'!F26</f>
        <v>5265.8</v>
      </c>
      <c r="P421" s="84">
        <f>'HKL891'!E26</f>
        <v>5396.8</v>
      </c>
      <c r="Q421" s="84">
        <f t="shared" si="868"/>
        <v>1</v>
      </c>
      <c r="R421" s="84">
        <f t="shared" si="881"/>
        <v>131</v>
      </c>
      <c r="S421" s="84">
        <f>'HKL891'!K26</f>
        <v>779.5</v>
      </c>
      <c r="T421" s="84">
        <f>'HKL891'!J26</f>
        <v>814.1</v>
      </c>
      <c r="U421" s="84">
        <f>'[1]April-18'!U36</f>
        <v>1</v>
      </c>
      <c r="V421" s="84">
        <f t="shared" si="882"/>
        <v>34.600000000000023</v>
      </c>
      <c r="W421" s="84"/>
      <c r="X421" s="84"/>
      <c r="Y421" s="85">
        <f t="shared" si="883"/>
        <v>0.72222222222222221</v>
      </c>
      <c r="Z421" s="84"/>
      <c r="AA421" s="82"/>
    </row>
    <row r="422" spans="1:27" s="40" customFormat="1" ht="39.950000000000003" hidden="1" customHeight="1" x14ac:dyDescent="0.25">
      <c r="A422" s="49">
        <v>20</v>
      </c>
      <c r="B422" s="50" t="str">
        <f t="shared" ref="B422:J422" si="889">B421</f>
        <v>H D Kote</v>
      </c>
      <c r="C422" s="50" t="str">
        <f t="shared" si="889"/>
        <v>HDKOTE/1714</v>
      </c>
      <c r="D422" s="50" t="str">
        <f t="shared" si="889"/>
        <v>GOVT  PRE-METRIC GIRLS HOSTEL</v>
      </c>
      <c r="E422" s="50" t="str">
        <f t="shared" si="889"/>
        <v>HKL891</v>
      </c>
      <c r="F422" s="50">
        <f t="shared" si="889"/>
        <v>0.24</v>
      </c>
      <c r="G422" s="50" t="str">
        <f t="shared" si="889"/>
        <v>GOVT</v>
      </c>
      <c r="H422" s="50" t="str">
        <f t="shared" si="889"/>
        <v>IPDS</v>
      </c>
      <c r="I422" s="50">
        <f t="shared" si="889"/>
        <v>3</v>
      </c>
      <c r="J422" s="50" t="str">
        <f t="shared" si="889"/>
        <v>LT 3</v>
      </c>
      <c r="K422" s="84">
        <f>'HKL891'!Q27</f>
        <v>30867</v>
      </c>
      <c r="L422" s="84">
        <f>'HKL891'!P27</f>
        <v>30988.9</v>
      </c>
      <c r="M422" s="84">
        <f>M421</f>
        <v>1</v>
      </c>
      <c r="N422" s="84">
        <f t="shared" si="880"/>
        <v>121.90000000000146</v>
      </c>
      <c r="O422" s="84">
        <f>'HKL891'!F27</f>
        <v>5396.8</v>
      </c>
      <c r="P422" s="84">
        <f>'HKL891'!E27</f>
        <v>5556.8</v>
      </c>
      <c r="Q422" s="84">
        <f t="shared" si="868"/>
        <v>1</v>
      </c>
      <c r="R422" s="84">
        <f t="shared" si="881"/>
        <v>160</v>
      </c>
      <c r="S422" s="84">
        <f>'HKL891'!K27</f>
        <v>814.1</v>
      </c>
      <c r="T422" s="84">
        <f>'HKL891'!J27</f>
        <v>882.3</v>
      </c>
      <c r="U422" s="84">
        <f>U421</f>
        <v>1</v>
      </c>
      <c r="V422" s="84">
        <f t="shared" si="882"/>
        <v>68.199999999999932</v>
      </c>
      <c r="W422" s="84"/>
      <c r="X422" s="84"/>
      <c r="Y422" s="85">
        <f t="shared" si="883"/>
        <v>1.3544444444444605</v>
      </c>
      <c r="Z422" s="84"/>
      <c r="AA422" s="82"/>
    </row>
    <row r="423" spans="1:27" s="40" customFormat="1" ht="39.950000000000003" hidden="1" customHeight="1" x14ac:dyDescent="0.25">
      <c r="A423" s="49">
        <v>21</v>
      </c>
      <c r="B423" s="50" t="str">
        <f t="shared" ref="B423:J423" si="890">B422</f>
        <v>H D Kote</v>
      </c>
      <c r="C423" s="50" t="str">
        <f t="shared" si="890"/>
        <v>HDKOTE/1714</v>
      </c>
      <c r="D423" s="50" t="str">
        <f t="shared" si="890"/>
        <v>GOVT  PRE-METRIC GIRLS HOSTEL</v>
      </c>
      <c r="E423" s="50" t="str">
        <f t="shared" si="890"/>
        <v>HKL891</v>
      </c>
      <c r="F423" s="50">
        <f t="shared" si="890"/>
        <v>0.24</v>
      </c>
      <c r="G423" s="50" t="str">
        <f t="shared" si="890"/>
        <v>GOVT</v>
      </c>
      <c r="H423" s="50" t="str">
        <f t="shared" si="890"/>
        <v>IPDS</v>
      </c>
      <c r="I423" s="50">
        <f t="shared" si="890"/>
        <v>3</v>
      </c>
      <c r="J423" s="50" t="str">
        <f t="shared" si="890"/>
        <v>LT 3</v>
      </c>
      <c r="K423" s="84">
        <f>'HKL891'!Q28</f>
        <v>30988.9</v>
      </c>
      <c r="L423" s="84">
        <f>'HKL891'!P28</f>
        <v>31195</v>
      </c>
      <c r="M423" s="84">
        <f>M422</f>
        <v>1</v>
      </c>
      <c r="N423" s="84">
        <f t="shared" si="880"/>
        <v>206.09999999999854</v>
      </c>
      <c r="O423" s="84">
        <f>'HKL891'!F28</f>
        <v>5556.8</v>
      </c>
      <c r="P423" s="84">
        <f>'HKL891'!E28</f>
        <v>5856.7</v>
      </c>
      <c r="Q423" s="84">
        <f t="shared" si="868"/>
        <v>1</v>
      </c>
      <c r="R423" s="84">
        <f t="shared" si="881"/>
        <v>299.89999999999964</v>
      </c>
      <c r="S423" s="84">
        <f>'HKL891'!K28</f>
        <v>882.3</v>
      </c>
      <c r="T423" s="84">
        <f>'HKL891'!J28</f>
        <v>996.5</v>
      </c>
      <c r="U423" s="84">
        <f>U422</f>
        <v>1</v>
      </c>
      <c r="V423" s="84">
        <f t="shared" si="882"/>
        <v>114.20000000000005</v>
      </c>
      <c r="W423" s="84"/>
      <c r="X423" s="84"/>
      <c r="Y423" s="85">
        <f t="shared" si="883"/>
        <v>2.2899999999999836</v>
      </c>
      <c r="Z423" s="84"/>
      <c r="AA423" s="82"/>
    </row>
    <row r="424" spans="1:27" s="40" customFormat="1" ht="39.950000000000003" hidden="1" customHeight="1" x14ac:dyDescent="0.25">
      <c r="A424" s="49">
        <v>22</v>
      </c>
      <c r="B424" s="50" t="str">
        <f t="shared" ref="B424:J426" si="891">B423</f>
        <v>H D Kote</v>
      </c>
      <c r="C424" s="50" t="str">
        <f t="shared" si="891"/>
        <v>HDKOTE/1714</v>
      </c>
      <c r="D424" s="50" t="str">
        <f t="shared" si="891"/>
        <v>GOVT  PRE-METRIC GIRLS HOSTEL</v>
      </c>
      <c r="E424" s="50" t="str">
        <f t="shared" si="891"/>
        <v>HKL891</v>
      </c>
      <c r="F424" s="50">
        <f t="shared" si="891"/>
        <v>0.24</v>
      </c>
      <c r="G424" s="50" t="str">
        <f t="shared" si="891"/>
        <v>GOVT</v>
      </c>
      <c r="H424" s="50" t="str">
        <f t="shared" si="891"/>
        <v>IPDS</v>
      </c>
      <c r="I424" s="50">
        <f t="shared" si="891"/>
        <v>3</v>
      </c>
      <c r="J424" s="50" t="str">
        <f t="shared" si="891"/>
        <v>LT 3</v>
      </c>
      <c r="K424" s="84">
        <f>'HKL891'!Q29</f>
        <v>31195</v>
      </c>
      <c r="L424" s="84">
        <f>'HKL891'!P29</f>
        <v>31410</v>
      </c>
      <c r="M424" s="84">
        <f>M423</f>
        <v>1</v>
      </c>
      <c r="N424" s="84">
        <f t="shared" ref="N424:N425" si="892">(L424-K424)*M424</f>
        <v>215</v>
      </c>
      <c r="O424" s="84">
        <f>'HKL891'!F29</f>
        <v>5856.7</v>
      </c>
      <c r="P424" s="84">
        <f>'HKL891'!E29</f>
        <v>6183.7</v>
      </c>
      <c r="Q424" s="84">
        <f t="shared" si="868"/>
        <v>1</v>
      </c>
      <c r="R424" s="84">
        <f t="shared" ref="R424:R425" si="893">(P424-O424)*Q424</f>
        <v>327</v>
      </c>
      <c r="S424" s="84">
        <f>'HKL891'!K29</f>
        <v>996.5</v>
      </c>
      <c r="T424" s="84">
        <f>'HKL891'!J29</f>
        <v>1028</v>
      </c>
      <c r="U424" s="84">
        <f>U423</f>
        <v>1</v>
      </c>
      <c r="V424" s="84">
        <f t="shared" ref="V424:V425" si="894">(T424-S424)*U424</f>
        <v>31.5</v>
      </c>
      <c r="W424" s="84"/>
      <c r="X424" s="84"/>
      <c r="Y424" s="85">
        <f t="shared" ref="Y424:Y425" si="895">N424/30/I424</f>
        <v>2.3888888888888888</v>
      </c>
      <c r="Z424" s="84"/>
      <c r="AA424" s="82"/>
    </row>
    <row r="425" spans="1:27" s="40" customFormat="1" ht="39.950000000000003" hidden="1" customHeight="1" x14ac:dyDescent="0.25">
      <c r="A425" s="49">
        <v>23</v>
      </c>
      <c r="B425" s="50" t="str">
        <f t="shared" ref="B425:J425" si="896">B424</f>
        <v>H D Kote</v>
      </c>
      <c r="C425" s="50" t="str">
        <f t="shared" si="896"/>
        <v>HDKOTE/1714</v>
      </c>
      <c r="D425" s="50" t="str">
        <f t="shared" si="896"/>
        <v>GOVT  PRE-METRIC GIRLS HOSTEL</v>
      </c>
      <c r="E425" s="50" t="str">
        <f t="shared" si="896"/>
        <v>HKL891</v>
      </c>
      <c r="F425" s="50">
        <f t="shared" si="896"/>
        <v>0.24</v>
      </c>
      <c r="G425" s="50" t="str">
        <f t="shared" si="896"/>
        <v>GOVT</v>
      </c>
      <c r="H425" s="50" t="str">
        <f t="shared" si="896"/>
        <v>IPDS</v>
      </c>
      <c r="I425" s="50">
        <f t="shared" si="896"/>
        <v>3</v>
      </c>
      <c r="J425" s="50" t="str">
        <f t="shared" si="896"/>
        <v>LT 3</v>
      </c>
      <c r="K425" s="84">
        <f>'HKL891'!Q31</f>
        <v>31410</v>
      </c>
      <c r="L425" s="84">
        <f>'HKL891'!P31</f>
        <v>31696</v>
      </c>
      <c r="M425" s="84">
        <f>M424</f>
        <v>1</v>
      </c>
      <c r="N425" s="84">
        <f t="shared" si="892"/>
        <v>286</v>
      </c>
      <c r="O425" s="84">
        <f>'HKL891'!F31</f>
        <v>6183.7</v>
      </c>
      <c r="P425" s="84">
        <f>'HKL891'!E31</f>
        <v>6298.7</v>
      </c>
      <c r="Q425" s="84">
        <f t="shared" si="868"/>
        <v>1</v>
      </c>
      <c r="R425" s="84">
        <f t="shared" si="893"/>
        <v>115</v>
      </c>
      <c r="S425" s="84">
        <f>'HKL891'!K31</f>
        <v>1028</v>
      </c>
      <c r="T425" s="84">
        <f>'HKL891'!J31</f>
        <v>1285</v>
      </c>
      <c r="U425" s="84">
        <f>U424</f>
        <v>1</v>
      </c>
      <c r="V425" s="84">
        <f t="shared" si="894"/>
        <v>257</v>
      </c>
      <c r="W425" s="84"/>
      <c r="X425" s="84"/>
      <c r="Y425" s="85">
        <f t="shared" si="895"/>
        <v>3.1777777777777776</v>
      </c>
      <c r="Z425" s="84"/>
      <c r="AA425" s="82"/>
    </row>
    <row r="426" spans="1:27" s="40" customFormat="1" ht="39.950000000000003" hidden="1" customHeight="1" x14ac:dyDescent="0.25">
      <c r="A426" s="49">
        <v>24</v>
      </c>
      <c r="B426" s="50" t="str">
        <f t="shared" si="891"/>
        <v>H D Kote</v>
      </c>
      <c r="C426" s="50" t="str">
        <f t="shared" si="891"/>
        <v>HDKOTE/1714</v>
      </c>
      <c r="D426" s="50" t="str">
        <f t="shared" si="891"/>
        <v>GOVT  PRE-METRIC GIRLS HOSTEL</v>
      </c>
      <c r="E426" s="50" t="str">
        <f t="shared" si="891"/>
        <v>HKL891</v>
      </c>
      <c r="F426" s="50">
        <f t="shared" si="891"/>
        <v>0.24</v>
      </c>
      <c r="G426" s="50" t="str">
        <f t="shared" si="891"/>
        <v>GOVT</v>
      </c>
      <c r="H426" s="50" t="str">
        <f t="shared" si="891"/>
        <v>IPDS</v>
      </c>
      <c r="I426" s="50">
        <f t="shared" si="891"/>
        <v>3</v>
      </c>
      <c r="J426" s="50" t="str">
        <f t="shared" si="891"/>
        <v>LT 3</v>
      </c>
      <c r="K426" s="84">
        <f>'HKL891'!Q32</f>
        <v>31696</v>
      </c>
      <c r="L426" s="84">
        <f>'HKL891'!P32</f>
        <v>31982</v>
      </c>
      <c r="M426" s="84">
        <f>M425</f>
        <v>1</v>
      </c>
      <c r="N426" s="84">
        <f t="shared" ref="N426:N429" si="897">(L426-K426)*M426</f>
        <v>286</v>
      </c>
      <c r="O426" s="84">
        <f>'HKL891'!F32</f>
        <v>6298.7</v>
      </c>
      <c r="P426" s="84">
        <f>'HKL891'!E32</f>
        <v>6413.7</v>
      </c>
      <c r="Q426" s="84">
        <f t="shared" si="868"/>
        <v>1</v>
      </c>
      <c r="R426" s="84">
        <f t="shared" ref="R426:R429" si="898">(P426-O426)*Q426</f>
        <v>115</v>
      </c>
      <c r="S426" s="84">
        <f>'HKL891'!K32</f>
        <v>1285</v>
      </c>
      <c r="T426" s="84">
        <f>'HKL891'!J32</f>
        <v>1542</v>
      </c>
      <c r="U426" s="84">
        <f>U425</f>
        <v>1</v>
      </c>
      <c r="V426" s="84">
        <f t="shared" ref="V426:V429" si="899">(T426-S426)*U426</f>
        <v>257</v>
      </c>
      <c r="W426" s="84"/>
      <c r="X426" s="84"/>
      <c r="Y426" s="85">
        <f t="shared" ref="Y426:Y429" si="900">N426/30/I426</f>
        <v>3.1777777777777776</v>
      </c>
      <c r="Z426" s="84"/>
      <c r="AA426" s="82"/>
    </row>
    <row r="427" spans="1:27" s="40" customFormat="1" ht="39.950000000000003" hidden="1" customHeight="1" x14ac:dyDescent="0.25">
      <c r="A427" s="49">
        <v>25</v>
      </c>
      <c r="B427" s="50" t="str">
        <f t="shared" ref="B427:J427" si="901">B426</f>
        <v>H D Kote</v>
      </c>
      <c r="C427" s="50" t="str">
        <f t="shared" si="901"/>
        <v>HDKOTE/1714</v>
      </c>
      <c r="D427" s="50" t="str">
        <f t="shared" si="901"/>
        <v>GOVT  PRE-METRIC GIRLS HOSTEL</v>
      </c>
      <c r="E427" s="50" t="str">
        <f t="shared" si="901"/>
        <v>HKL891</v>
      </c>
      <c r="F427" s="50">
        <f t="shared" si="901"/>
        <v>0.24</v>
      </c>
      <c r="G427" s="50" t="str">
        <f t="shared" si="901"/>
        <v>GOVT</v>
      </c>
      <c r="H427" s="50" t="str">
        <f t="shared" si="901"/>
        <v>IPDS</v>
      </c>
      <c r="I427" s="50">
        <f t="shared" si="901"/>
        <v>3</v>
      </c>
      <c r="J427" s="50" t="str">
        <f t="shared" si="901"/>
        <v>LT 3</v>
      </c>
      <c r="K427" s="84">
        <f>'HKL891'!Q33</f>
        <v>31982</v>
      </c>
      <c r="L427" s="84">
        <f>'HKL891'!P33</f>
        <v>32268</v>
      </c>
      <c r="M427" s="84">
        <f t="shared" ref="M427:M433" si="902">M426</f>
        <v>1</v>
      </c>
      <c r="N427" s="84">
        <f t="shared" si="897"/>
        <v>286</v>
      </c>
      <c r="O427" s="84">
        <f>'HKL891'!F33</f>
        <v>6413.7</v>
      </c>
      <c r="P427" s="84">
        <f>'HKL891'!E33</f>
        <v>6528.7</v>
      </c>
      <c r="Q427" s="84">
        <f t="shared" si="868"/>
        <v>1</v>
      </c>
      <c r="R427" s="84">
        <f t="shared" si="898"/>
        <v>115</v>
      </c>
      <c r="S427" s="84">
        <f>'HKL891'!K33</f>
        <v>1542</v>
      </c>
      <c r="T427" s="84">
        <f>'HKL891'!J33</f>
        <v>1799</v>
      </c>
      <c r="U427" s="84">
        <f t="shared" ref="U427:U433" si="903">U426</f>
        <v>1</v>
      </c>
      <c r="V427" s="84">
        <f t="shared" si="899"/>
        <v>257</v>
      </c>
      <c r="W427" s="84"/>
      <c r="X427" s="84"/>
      <c r="Y427" s="85">
        <f t="shared" si="900"/>
        <v>3.1777777777777776</v>
      </c>
      <c r="Z427" s="84"/>
      <c r="AA427" s="82"/>
    </row>
    <row r="428" spans="1:27" s="40" customFormat="1" ht="39.950000000000003" hidden="1" customHeight="1" x14ac:dyDescent="0.25">
      <c r="A428" s="49">
        <v>26</v>
      </c>
      <c r="B428" s="50" t="str">
        <f t="shared" ref="B428:J428" si="904">B427</f>
        <v>H D Kote</v>
      </c>
      <c r="C428" s="50" t="str">
        <f t="shared" si="904"/>
        <v>HDKOTE/1714</v>
      </c>
      <c r="D428" s="50" t="str">
        <f t="shared" si="904"/>
        <v>GOVT  PRE-METRIC GIRLS HOSTEL</v>
      </c>
      <c r="E428" s="50" t="str">
        <f t="shared" si="904"/>
        <v>HKL891</v>
      </c>
      <c r="F428" s="50">
        <f t="shared" si="904"/>
        <v>0.24</v>
      </c>
      <c r="G428" s="50" t="str">
        <f t="shared" si="904"/>
        <v>GOVT</v>
      </c>
      <c r="H428" s="50" t="str">
        <f t="shared" si="904"/>
        <v>IPDS</v>
      </c>
      <c r="I428" s="50">
        <f t="shared" si="904"/>
        <v>3</v>
      </c>
      <c r="J428" s="50" t="str">
        <f t="shared" si="904"/>
        <v>LT 3</v>
      </c>
      <c r="K428" s="84">
        <f>'HKL891'!Q34</f>
        <v>32268</v>
      </c>
      <c r="L428" s="84">
        <f>'HKL891'!P34</f>
        <v>32554</v>
      </c>
      <c r="M428" s="84">
        <f t="shared" si="902"/>
        <v>1</v>
      </c>
      <c r="N428" s="84">
        <f t="shared" si="897"/>
        <v>286</v>
      </c>
      <c r="O428" s="84">
        <f>'HKL891'!F34</f>
        <v>6528.7</v>
      </c>
      <c r="P428" s="84">
        <f>'HKL891'!E34</f>
        <v>6643.7</v>
      </c>
      <c r="Q428" s="84">
        <f t="shared" si="868"/>
        <v>1</v>
      </c>
      <c r="R428" s="84">
        <f t="shared" si="898"/>
        <v>115</v>
      </c>
      <c r="S428" s="84">
        <f>'HKL891'!K34</f>
        <v>1799</v>
      </c>
      <c r="T428" s="84">
        <f>'HKL891'!J34</f>
        <v>2056</v>
      </c>
      <c r="U428" s="84">
        <f t="shared" si="903"/>
        <v>1</v>
      </c>
      <c r="V428" s="84">
        <f t="shared" si="899"/>
        <v>257</v>
      </c>
      <c r="W428" s="84"/>
      <c r="X428" s="84"/>
      <c r="Y428" s="85">
        <f t="shared" si="900"/>
        <v>3.1777777777777776</v>
      </c>
      <c r="Z428" s="84"/>
      <c r="AA428" s="82"/>
    </row>
    <row r="429" spans="1:27" s="40" customFormat="1" ht="39.950000000000003" hidden="1" customHeight="1" x14ac:dyDescent="0.25">
      <c r="A429" s="49">
        <v>27</v>
      </c>
      <c r="B429" s="50" t="str">
        <f t="shared" ref="B429:J429" si="905">B428</f>
        <v>H D Kote</v>
      </c>
      <c r="C429" s="50" t="str">
        <f t="shared" si="905"/>
        <v>HDKOTE/1714</v>
      </c>
      <c r="D429" s="50" t="str">
        <f t="shared" si="905"/>
        <v>GOVT  PRE-METRIC GIRLS HOSTEL</v>
      </c>
      <c r="E429" s="50" t="str">
        <f t="shared" si="905"/>
        <v>HKL891</v>
      </c>
      <c r="F429" s="50">
        <f t="shared" si="905"/>
        <v>0.24</v>
      </c>
      <c r="G429" s="50" t="str">
        <f t="shared" si="905"/>
        <v>GOVT</v>
      </c>
      <c r="H429" s="50" t="str">
        <f t="shared" si="905"/>
        <v>IPDS</v>
      </c>
      <c r="I429" s="50">
        <f t="shared" si="905"/>
        <v>3</v>
      </c>
      <c r="J429" s="50" t="str">
        <f t="shared" si="905"/>
        <v>LT 3</v>
      </c>
      <c r="K429" s="84">
        <f>'HKL891'!Q35</f>
        <v>32554</v>
      </c>
      <c r="L429" s="84">
        <f>'HKL891'!P35</f>
        <v>32843.9</v>
      </c>
      <c r="M429" s="84">
        <f t="shared" si="902"/>
        <v>1</v>
      </c>
      <c r="N429" s="84">
        <f t="shared" si="897"/>
        <v>289.90000000000146</v>
      </c>
      <c r="O429" s="84">
        <f>'HKL891'!F35</f>
        <v>6643.7</v>
      </c>
      <c r="P429" s="84">
        <f>'HKL891'!E35</f>
        <v>6761.3</v>
      </c>
      <c r="Q429" s="84">
        <f t="shared" si="868"/>
        <v>1</v>
      </c>
      <c r="R429" s="84">
        <f t="shared" si="898"/>
        <v>117.60000000000036</v>
      </c>
      <c r="S429" s="84">
        <f>'HKL891'!K35</f>
        <v>2056</v>
      </c>
      <c r="T429" s="84">
        <f>'HKL891'!J35</f>
        <v>2314.3000000000002</v>
      </c>
      <c r="U429" s="84">
        <f t="shared" si="903"/>
        <v>1</v>
      </c>
      <c r="V429" s="84">
        <f t="shared" si="899"/>
        <v>258.30000000000018</v>
      </c>
      <c r="W429" s="84"/>
      <c r="X429" s="84"/>
      <c r="Y429" s="85">
        <f t="shared" si="900"/>
        <v>3.2211111111111275</v>
      </c>
      <c r="Z429" s="84"/>
      <c r="AA429" s="82"/>
    </row>
    <row r="430" spans="1:27" s="40" customFormat="1" ht="39.950000000000003" hidden="1" customHeight="1" x14ac:dyDescent="0.25">
      <c r="A430" s="49">
        <v>28</v>
      </c>
      <c r="B430" s="50" t="str">
        <f t="shared" ref="B430:J432" si="906">B429</f>
        <v>H D Kote</v>
      </c>
      <c r="C430" s="50" t="str">
        <f t="shared" si="906"/>
        <v>HDKOTE/1714</v>
      </c>
      <c r="D430" s="50" t="str">
        <f t="shared" si="906"/>
        <v>GOVT  PRE-METRIC GIRLS HOSTEL</v>
      </c>
      <c r="E430" s="50" t="str">
        <f t="shared" si="906"/>
        <v>HKL891</v>
      </c>
      <c r="F430" s="50">
        <f t="shared" si="906"/>
        <v>0.24</v>
      </c>
      <c r="G430" s="50" t="str">
        <f t="shared" si="906"/>
        <v>GOVT</v>
      </c>
      <c r="H430" s="50" t="str">
        <f t="shared" si="906"/>
        <v>IPDS</v>
      </c>
      <c r="I430" s="50">
        <f t="shared" si="906"/>
        <v>3</v>
      </c>
      <c r="J430" s="50" t="str">
        <f t="shared" si="906"/>
        <v>LT 3</v>
      </c>
      <c r="K430" s="84">
        <f>'HKL891'!Q36</f>
        <v>32843.9</v>
      </c>
      <c r="L430" s="84">
        <f>'HKL891'!P36</f>
        <v>33102.800000000003</v>
      </c>
      <c r="M430" s="84">
        <f t="shared" si="902"/>
        <v>1</v>
      </c>
      <c r="N430" s="84">
        <f t="shared" ref="N430:N433" si="907">(L430-K430)*M430</f>
        <v>258.90000000000146</v>
      </c>
      <c r="O430" s="84">
        <f>'HKL891'!F36</f>
        <v>6761.3</v>
      </c>
      <c r="P430" s="84">
        <f>'HKL891'!E36</f>
        <v>6959.2</v>
      </c>
      <c r="Q430" s="84">
        <f t="shared" si="868"/>
        <v>1</v>
      </c>
      <c r="R430" s="84">
        <f t="shared" ref="R430:R433" si="908">(P430-O430)*Q430</f>
        <v>197.89999999999964</v>
      </c>
      <c r="S430" s="84">
        <f>'HKL891'!K36</f>
        <v>2314.3000000000002</v>
      </c>
      <c r="T430" s="84">
        <f>'HKL891'!J36</f>
        <v>2508.5</v>
      </c>
      <c r="U430" s="84">
        <f t="shared" si="903"/>
        <v>1</v>
      </c>
      <c r="V430" s="84">
        <f t="shared" ref="V430:V433" si="909">(T430-S430)*U430</f>
        <v>194.19999999999982</v>
      </c>
      <c r="W430" s="84">
        <f>'HKL891'!U36</f>
        <v>1.63</v>
      </c>
      <c r="X430" s="84">
        <f>'HKL891'!V36</f>
        <v>0.9</v>
      </c>
      <c r="Y430" s="85">
        <f t="shared" ref="Y430:Y433" si="910">N430/30/I430</f>
        <v>2.8766666666666829</v>
      </c>
      <c r="Z430" s="84"/>
      <c r="AA430" s="82"/>
    </row>
    <row r="431" spans="1:27" s="40" customFormat="1" ht="39.950000000000003" hidden="1" customHeight="1" x14ac:dyDescent="0.25">
      <c r="A431" s="49">
        <v>29</v>
      </c>
      <c r="B431" s="50" t="str">
        <f t="shared" ref="B431:J431" si="911">B430</f>
        <v>H D Kote</v>
      </c>
      <c r="C431" s="50" t="str">
        <f t="shared" si="911"/>
        <v>HDKOTE/1714</v>
      </c>
      <c r="D431" s="50" t="str">
        <f t="shared" si="911"/>
        <v>GOVT  PRE-METRIC GIRLS HOSTEL</v>
      </c>
      <c r="E431" s="50" t="str">
        <f t="shared" si="911"/>
        <v>HKL891</v>
      </c>
      <c r="F431" s="50">
        <f t="shared" si="911"/>
        <v>0.24</v>
      </c>
      <c r="G431" s="50" t="str">
        <f t="shared" si="911"/>
        <v>GOVT</v>
      </c>
      <c r="H431" s="50" t="str">
        <f t="shared" si="911"/>
        <v>IPDS</v>
      </c>
      <c r="I431" s="50">
        <f t="shared" si="911"/>
        <v>3</v>
      </c>
      <c r="J431" s="50" t="str">
        <f t="shared" si="911"/>
        <v>LT 3</v>
      </c>
      <c r="K431" s="84">
        <f>'HKL891'!Q37</f>
        <v>33102.800000000003</v>
      </c>
      <c r="L431" s="84">
        <f>'HKL891'!P37</f>
        <v>33365.599999999999</v>
      </c>
      <c r="M431" s="84">
        <f t="shared" si="902"/>
        <v>1</v>
      </c>
      <c r="N431" s="84">
        <f t="shared" si="907"/>
        <v>262.79999999999563</v>
      </c>
      <c r="O431" s="84">
        <f>'HKL891'!F37</f>
        <v>6959.2</v>
      </c>
      <c r="P431" s="84">
        <f>'HKL891'!E37</f>
        <v>7156.5</v>
      </c>
      <c r="Q431" s="84">
        <f t="shared" si="868"/>
        <v>1</v>
      </c>
      <c r="R431" s="84">
        <f t="shared" si="908"/>
        <v>197.30000000000018</v>
      </c>
      <c r="S431" s="84">
        <f>'HKL891'!K37</f>
        <v>2508.5</v>
      </c>
      <c r="T431" s="84">
        <f>'HKL891'!J37</f>
        <v>2677.5</v>
      </c>
      <c r="U431" s="84">
        <f t="shared" si="903"/>
        <v>1</v>
      </c>
      <c r="V431" s="84">
        <f t="shared" si="909"/>
        <v>169</v>
      </c>
      <c r="W431" s="84">
        <f>'HKL891'!U37</f>
        <v>1.1000000000000001</v>
      </c>
      <c r="X431" s="84">
        <f>'HKL891'!V37</f>
        <v>0.89</v>
      </c>
      <c r="Y431" s="85">
        <f t="shared" si="910"/>
        <v>2.9199999999999515</v>
      </c>
      <c r="Z431" s="84"/>
      <c r="AA431" s="82"/>
    </row>
    <row r="432" spans="1:27" s="40" customFormat="1" ht="39.950000000000003" customHeight="1" x14ac:dyDescent="0.25">
      <c r="A432" s="49">
        <v>30</v>
      </c>
      <c r="B432" s="50" t="str">
        <f t="shared" si="906"/>
        <v>H D Kote</v>
      </c>
      <c r="C432" s="50" t="str">
        <f t="shared" si="906"/>
        <v>HDKOTE/1714</v>
      </c>
      <c r="D432" s="50" t="str">
        <f t="shared" si="906"/>
        <v>GOVT  PRE-METRIC GIRLS HOSTEL</v>
      </c>
      <c r="E432" s="50" t="str">
        <f t="shared" si="906"/>
        <v>HKL891</v>
      </c>
      <c r="F432" s="50">
        <f t="shared" si="906"/>
        <v>0.24</v>
      </c>
      <c r="G432" s="50" t="str">
        <f t="shared" si="906"/>
        <v>GOVT</v>
      </c>
      <c r="H432" s="50" t="str">
        <f t="shared" si="906"/>
        <v>IPDS</v>
      </c>
      <c r="I432" s="50">
        <f t="shared" si="906"/>
        <v>3</v>
      </c>
      <c r="J432" s="50" t="str">
        <f t="shared" si="906"/>
        <v>LT 3</v>
      </c>
      <c r="K432" s="84">
        <f>'HKL891'!Q38</f>
        <v>33365.599999999999</v>
      </c>
      <c r="L432" s="84">
        <f>'HKL891'!P38</f>
        <v>33642</v>
      </c>
      <c r="M432" s="84">
        <f t="shared" si="902"/>
        <v>1</v>
      </c>
      <c r="N432" s="84">
        <f t="shared" ref="N432" si="912">(L432-K432)*M432</f>
        <v>276.40000000000146</v>
      </c>
      <c r="O432" s="84">
        <f>'HKL891'!F38</f>
        <v>7156.5</v>
      </c>
      <c r="P432" s="84">
        <f>'HKL891'!E38</f>
        <v>7352.7</v>
      </c>
      <c r="Q432" s="84">
        <f t="shared" si="868"/>
        <v>1</v>
      </c>
      <c r="R432" s="84">
        <f t="shared" ref="R432" si="913">(P432-O432)*Q432</f>
        <v>196.19999999999982</v>
      </c>
      <c r="S432" s="84">
        <f>'HKL891'!K38</f>
        <v>2677.5</v>
      </c>
      <c r="T432" s="84">
        <f>'HKL891'!J38</f>
        <v>2749.5</v>
      </c>
      <c r="U432" s="84">
        <f t="shared" si="903"/>
        <v>1</v>
      </c>
      <c r="V432" s="84">
        <f t="shared" ref="V432" si="914">(T432-S432)*U432</f>
        <v>72</v>
      </c>
      <c r="W432" s="84">
        <f>'HKL891'!U38</f>
        <v>1.08</v>
      </c>
      <c r="X432" s="84">
        <f>'HKL891'!V38</f>
        <v>0.97</v>
      </c>
      <c r="Y432" s="85">
        <f t="shared" si="910"/>
        <v>3.0711111111111276</v>
      </c>
      <c r="Z432" s="84"/>
      <c r="AA432" s="82"/>
    </row>
    <row r="433" spans="1:27" s="40" customFormat="1" ht="39.950000000000003" hidden="1" customHeight="1" x14ac:dyDescent="0.25">
      <c r="A433" s="49">
        <v>31</v>
      </c>
      <c r="B433" s="50" t="str">
        <f t="shared" ref="B433:J433" si="915">B432</f>
        <v>H D Kote</v>
      </c>
      <c r="C433" s="50" t="str">
        <f t="shared" si="915"/>
        <v>HDKOTE/1714</v>
      </c>
      <c r="D433" s="50" t="str">
        <f t="shared" si="915"/>
        <v>GOVT  PRE-METRIC GIRLS HOSTEL</v>
      </c>
      <c r="E433" s="50" t="str">
        <f t="shared" si="915"/>
        <v>HKL891</v>
      </c>
      <c r="F433" s="50">
        <f t="shared" si="915"/>
        <v>0.24</v>
      </c>
      <c r="G433" s="50" t="str">
        <f t="shared" si="915"/>
        <v>GOVT</v>
      </c>
      <c r="H433" s="50" t="str">
        <f t="shared" si="915"/>
        <v>IPDS</v>
      </c>
      <c r="I433" s="50">
        <f t="shared" si="915"/>
        <v>3</v>
      </c>
      <c r="J433" s="50" t="str">
        <f t="shared" si="915"/>
        <v>LT 3</v>
      </c>
      <c r="K433" s="84">
        <f>'HKL891'!Q76</f>
        <v>0</v>
      </c>
      <c r="L433" s="84">
        <f>'HKL891'!P76</f>
        <v>0</v>
      </c>
      <c r="M433" s="84">
        <f t="shared" si="902"/>
        <v>1</v>
      </c>
      <c r="N433" s="84">
        <f t="shared" si="907"/>
        <v>0</v>
      </c>
      <c r="O433" s="84">
        <f>'HKL891'!F76</f>
        <v>0</v>
      </c>
      <c r="P433" s="84">
        <f>'HKL891'!E76</f>
        <v>0</v>
      </c>
      <c r="Q433" s="84">
        <f t="shared" si="868"/>
        <v>1</v>
      </c>
      <c r="R433" s="84">
        <f t="shared" si="908"/>
        <v>0</v>
      </c>
      <c r="S433" s="84">
        <f>'HKL891'!K76</f>
        <v>0</v>
      </c>
      <c r="T433" s="84">
        <f>'HKL891'!J76</f>
        <v>0</v>
      </c>
      <c r="U433" s="84">
        <f t="shared" si="903"/>
        <v>1</v>
      </c>
      <c r="V433" s="84">
        <f t="shared" si="909"/>
        <v>0</v>
      </c>
      <c r="W433" s="84"/>
      <c r="X433" s="84"/>
      <c r="Y433" s="85">
        <f t="shared" si="910"/>
        <v>0</v>
      </c>
      <c r="Z433" s="84"/>
      <c r="AA433" s="82"/>
    </row>
    <row r="434" spans="1:27" s="40" customFormat="1" ht="39.950000000000003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5"/>
      <c r="Z434" s="84"/>
      <c r="AA434" s="82"/>
    </row>
    <row r="435" spans="1:27" s="40" customFormat="1" ht="39.950000000000003" hidden="1" customHeight="1" x14ac:dyDescent="0.25">
      <c r="A435" s="49"/>
      <c r="B435" s="50"/>
      <c r="C435" s="50"/>
      <c r="D435" s="50"/>
      <c r="E435" s="50"/>
      <c r="F435" s="50"/>
      <c r="G435" s="50"/>
      <c r="H435" s="50"/>
      <c r="I435" s="50"/>
      <c r="J435" s="50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5"/>
      <c r="Z435" s="84"/>
      <c r="AA435" s="82"/>
    </row>
    <row r="436" spans="1:27" s="40" customFormat="1" ht="39.950000000000003" hidden="1" customHeight="1" x14ac:dyDescent="0.25">
      <c r="A436" s="49">
        <v>1</v>
      </c>
      <c r="B436" s="50" t="s">
        <v>43</v>
      </c>
      <c r="C436" s="56" t="s">
        <v>229</v>
      </c>
      <c r="D436" s="59" t="s">
        <v>189</v>
      </c>
      <c r="E436" s="55" t="s">
        <v>187</v>
      </c>
      <c r="F436" s="50">
        <v>0.12</v>
      </c>
      <c r="G436" s="49" t="s">
        <v>221</v>
      </c>
      <c r="H436" s="64" t="s">
        <v>222</v>
      </c>
      <c r="I436" s="49">
        <v>3</v>
      </c>
      <c r="J436" s="49" t="s">
        <v>223</v>
      </c>
      <c r="K436" s="84">
        <f>'HKL1720'!Q8</f>
        <v>185.8</v>
      </c>
      <c r="L436" s="84">
        <f>'HKL1720'!P8</f>
        <v>439.2</v>
      </c>
      <c r="M436" s="84">
        <f>'[1]April-18'!M19</f>
        <v>1</v>
      </c>
      <c r="N436" s="84">
        <f t="shared" si="0"/>
        <v>253.39999999999998</v>
      </c>
      <c r="O436" s="84">
        <f>'HKL1720'!F8</f>
        <v>8.6</v>
      </c>
      <c r="P436" s="84">
        <f>'HKL1720'!E8</f>
        <v>21.3</v>
      </c>
      <c r="Q436" s="84">
        <v>1</v>
      </c>
      <c r="R436" s="84">
        <f t="shared" si="683"/>
        <v>12.700000000000001</v>
      </c>
      <c r="S436" s="84">
        <f>'HKL1720'!K8</f>
        <v>176.7</v>
      </c>
      <c r="T436" s="84">
        <f>'HKL1720'!J8</f>
        <v>411.9</v>
      </c>
      <c r="U436" s="84">
        <f>'[1]April-18'!U19</f>
        <v>1</v>
      </c>
      <c r="V436" s="84">
        <f t="shared" si="684"/>
        <v>235.2</v>
      </c>
      <c r="W436" s="84"/>
      <c r="X436" s="84"/>
      <c r="Y436" s="85">
        <f t="shared" si="87"/>
        <v>2.8155555555555551</v>
      </c>
      <c r="Z436" s="84"/>
      <c r="AA436" s="82" t="str">
        <f>'HKL1720'!B8</f>
        <v>01.08.2019</v>
      </c>
    </row>
    <row r="437" spans="1:27" s="40" customFormat="1" ht="39.950000000000003" hidden="1" customHeight="1" x14ac:dyDescent="0.25">
      <c r="A437" s="49">
        <v>2</v>
      </c>
      <c r="B437" s="50" t="str">
        <f>B436</f>
        <v>H D Kote</v>
      </c>
      <c r="C437" s="50" t="str">
        <f t="shared" ref="C437:J438" si="916">C436</f>
        <v>HDKOTE/1714</v>
      </c>
      <c r="D437" s="50" t="str">
        <f t="shared" si="916"/>
        <v>GOVT URDU PRIMARY SCHOOL</v>
      </c>
      <c r="E437" s="50" t="str">
        <f t="shared" si="916"/>
        <v>HKL1720</v>
      </c>
      <c r="F437" s="50">
        <f t="shared" si="916"/>
        <v>0.12</v>
      </c>
      <c r="G437" s="50" t="str">
        <f t="shared" si="916"/>
        <v>GOVT</v>
      </c>
      <c r="H437" s="50" t="str">
        <f t="shared" si="916"/>
        <v>IPDS</v>
      </c>
      <c r="I437" s="50">
        <f t="shared" si="916"/>
        <v>3</v>
      </c>
      <c r="J437" s="50" t="str">
        <f t="shared" si="916"/>
        <v>LT 2</v>
      </c>
      <c r="K437" s="84">
        <f>'HKL1720'!Q9</f>
        <v>439.2</v>
      </c>
      <c r="L437" s="84">
        <f>'HKL1720'!P9</f>
        <v>646.29999999999995</v>
      </c>
      <c r="M437" s="84">
        <f>'[1]April-18'!M20</f>
        <v>1</v>
      </c>
      <c r="N437" s="84">
        <f t="shared" si="0"/>
        <v>207.09999999999997</v>
      </c>
      <c r="O437" s="84">
        <f>'HKL1720'!F9</f>
        <v>21.3</v>
      </c>
      <c r="P437" s="84">
        <f>'HKL1720'!E9</f>
        <v>35</v>
      </c>
      <c r="Q437" s="84">
        <f>Q436</f>
        <v>1</v>
      </c>
      <c r="R437" s="84">
        <f t="shared" si="683"/>
        <v>13.7</v>
      </c>
      <c r="S437" s="84">
        <f>'HKL1720'!K9</f>
        <v>411.9</v>
      </c>
      <c r="T437" s="84">
        <f>'HKL1720'!J9</f>
        <v>611</v>
      </c>
      <c r="U437" s="84">
        <f>'[1]April-18'!U20</f>
        <v>1</v>
      </c>
      <c r="V437" s="84">
        <f t="shared" si="684"/>
        <v>199.10000000000002</v>
      </c>
      <c r="W437" s="84"/>
      <c r="X437" s="84"/>
      <c r="Y437" s="85">
        <f t="shared" si="87"/>
        <v>2.3011111111111107</v>
      </c>
      <c r="Z437" s="84"/>
      <c r="AA437" s="82" t="str">
        <f>'HKL1720'!B9</f>
        <v>01.09.2019</v>
      </c>
    </row>
    <row r="438" spans="1:27" s="40" customFormat="1" ht="39.950000000000003" hidden="1" customHeight="1" x14ac:dyDescent="0.25">
      <c r="A438" s="49">
        <v>3</v>
      </c>
      <c r="B438" s="50" t="str">
        <f>B437</f>
        <v>H D Kote</v>
      </c>
      <c r="C438" s="50" t="str">
        <f t="shared" si="916"/>
        <v>HDKOTE/1714</v>
      </c>
      <c r="D438" s="50" t="str">
        <f t="shared" si="916"/>
        <v>GOVT URDU PRIMARY SCHOOL</v>
      </c>
      <c r="E438" s="50" t="str">
        <f t="shared" si="916"/>
        <v>HKL1720</v>
      </c>
      <c r="F438" s="50">
        <f t="shared" si="916"/>
        <v>0.12</v>
      </c>
      <c r="G438" s="50" t="str">
        <f t="shared" si="916"/>
        <v>GOVT</v>
      </c>
      <c r="H438" s="50" t="str">
        <f t="shared" si="916"/>
        <v>IPDS</v>
      </c>
      <c r="I438" s="50">
        <f t="shared" si="916"/>
        <v>3</v>
      </c>
      <c r="J438" s="50" t="str">
        <f t="shared" si="916"/>
        <v>LT 2</v>
      </c>
      <c r="K438" s="84">
        <f>'HKL1720'!Q10</f>
        <v>646.29999999999995</v>
      </c>
      <c r="L438" s="84">
        <f>'HKL1720'!P10</f>
        <v>915</v>
      </c>
      <c r="M438" s="84">
        <f>'[1]April-18'!M21</f>
        <v>1</v>
      </c>
      <c r="N438" s="84">
        <f t="shared" si="0"/>
        <v>268.70000000000005</v>
      </c>
      <c r="O438" s="84">
        <f>'HKL1720'!F10</f>
        <v>35</v>
      </c>
      <c r="P438" s="84">
        <f>'HKL1720'!E10</f>
        <v>48</v>
      </c>
      <c r="Q438" s="84">
        <f>Q437</f>
        <v>1</v>
      </c>
      <c r="R438" s="84">
        <f t="shared" si="683"/>
        <v>13</v>
      </c>
      <c r="S438" s="84">
        <f>'HKL1720'!K10</f>
        <v>611</v>
      </c>
      <c r="T438" s="84">
        <f>'HKL1720'!J10</f>
        <v>867</v>
      </c>
      <c r="U438" s="84">
        <f>'[1]April-18'!U21</f>
        <v>1</v>
      </c>
      <c r="V438" s="84">
        <f t="shared" si="684"/>
        <v>256</v>
      </c>
      <c r="W438" s="84"/>
      <c r="X438" s="84"/>
      <c r="Y438" s="85">
        <f t="shared" ref="Y438:Y608" si="917">N438/30/I438</f>
        <v>2.9855555555555564</v>
      </c>
      <c r="Z438" s="84"/>
      <c r="AA438" s="82" t="str">
        <f>'HKL1720'!B10</f>
        <v>01.10.2019</v>
      </c>
    </row>
    <row r="439" spans="1:27" s="40" customFormat="1" ht="39.950000000000003" hidden="1" customHeight="1" x14ac:dyDescent="0.25">
      <c r="A439" s="49">
        <v>4</v>
      </c>
      <c r="B439" s="50" t="str">
        <f t="shared" ref="B439:J442" si="918">B438</f>
        <v>H D Kote</v>
      </c>
      <c r="C439" s="50" t="str">
        <f t="shared" si="918"/>
        <v>HDKOTE/1714</v>
      </c>
      <c r="D439" s="50" t="str">
        <f t="shared" si="918"/>
        <v>GOVT URDU PRIMARY SCHOOL</v>
      </c>
      <c r="E439" s="50" t="str">
        <f t="shared" si="918"/>
        <v>HKL1720</v>
      </c>
      <c r="F439" s="50">
        <f t="shared" si="918"/>
        <v>0.12</v>
      </c>
      <c r="G439" s="50" t="str">
        <f t="shared" si="918"/>
        <v>GOVT</v>
      </c>
      <c r="H439" s="50" t="str">
        <f t="shared" si="918"/>
        <v>IPDS</v>
      </c>
      <c r="I439" s="50">
        <f t="shared" si="918"/>
        <v>3</v>
      </c>
      <c r="J439" s="50" t="str">
        <f t="shared" si="918"/>
        <v>LT 2</v>
      </c>
      <c r="K439" s="84">
        <f>'HKL1720'!Q11</f>
        <v>915</v>
      </c>
      <c r="L439" s="84">
        <f>'HKL1720'!P11</f>
        <v>1154</v>
      </c>
      <c r="M439" s="84">
        <f>'[1]April-18'!M22</f>
        <v>1</v>
      </c>
      <c r="N439" s="84">
        <f t="shared" si="0"/>
        <v>239</v>
      </c>
      <c r="O439" s="84">
        <f>'HKL1720'!F11</f>
        <v>48</v>
      </c>
      <c r="P439" s="84">
        <f>'HKL1720'!E11</f>
        <v>64.8</v>
      </c>
      <c r="Q439" s="84">
        <f t="shared" ref="Q439:Q466" si="919">Q438</f>
        <v>1</v>
      </c>
      <c r="R439" s="84">
        <f t="shared" si="683"/>
        <v>16.799999999999997</v>
      </c>
      <c r="S439" s="84">
        <f>'HKL1720'!K11</f>
        <v>867</v>
      </c>
      <c r="T439" s="84">
        <f>'HKL1720'!J11</f>
        <v>1093</v>
      </c>
      <c r="U439" s="84">
        <f>'[1]April-18'!U22</f>
        <v>1</v>
      </c>
      <c r="V439" s="84">
        <f t="shared" si="684"/>
        <v>226</v>
      </c>
      <c r="W439" s="84"/>
      <c r="X439" s="84"/>
      <c r="Y439" s="85">
        <f t="shared" si="917"/>
        <v>2.6555555555555554</v>
      </c>
      <c r="Z439" s="84"/>
      <c r="AA439" s="82" t="str">
        <f>'HKL1720'!B11</f>
        <v>01.11.2019</v>
      </c>
    </row>
    <row r="440" spans="1:27" s="40" customFormat="1" ht="39.950000000000003" hidden="1" customHeight="1" x14ac:dyDescent="0.25">
      <c r="A440" s="49">
        <v>5</v>
      </c>
      <c r="B440" s="50" t="str">
        <f t="shared" si="918"/>
        <v>H D Kote</v>
      </c>
      <c r="C440" s="50" t="str">
        <f t="shared" si="918"/>
        <v>HDKOTE/1714</v>
      </c>
      <c r="D440" s="50" t="str">
        <f t="shared" si="918"/>
        <v>GOVT URDU PRIMARY SCHOOL</v>
      </c>
      <c r="E440" s="50" t="str">
        <f t="shared" si="918"/>
        <v>HKL1720</v>
      </c>
      <c r="F440" s="50">
        <f t="shared" si="918"/>
        <v>0.12</v>
      </c>
      <c r="G440" s="50" t="str">
        <f t="shared" si="918"/>
        <v>GOVT</v>
      </c>
      <c r="H440" s="50" t="str">
        <f t="shared" si="918"/>
        <v>IPDS</v>
      </c>
      <c r="I440" s="50">
        <f t="shared" si="918"/>
        <v>3</v>
      </c>
      <c r="J440" s="50" t="str">
        <f t="shared" si="918"/>
        <v>LT 2</v>
      </c>
      <c r="K440" s="84">
        <f>'HKL1720'!Q12</f>
        <v>1154</v>
      </c>
      <c r="L440" s="84">
        <f>'HKL1720'!P12</f>
        <v>1345.3</v>
      </c>
      <c r="M440" s="84">
        <f>'[1]April-18'!M23</f>
        <v>1</v>
      </c>
      <c r="N440" s="84">
        <f t="shared" si="0"/>
        <v>191.29999999999995</v>
      </c>
      <c r="O440" s="84">
        <f>'HKL1720'!F12</f>
        <v>64.8</v>
      </c>
      <c r="P440" s="84">
        <f>'HKL1720'!E12</f>
        <v>72.3</v>
      </c>
      <c r="Q440" s="84">
        <f t="shared" si="919"/>
        <v>1</v>
      </c>
      <c r="R440" s="84">
        <f t="shared" si="683"/>
        <v>7.5</v>
      </c>
      <c r="S440" s="84">
        <f>'HKL1720'!K12</f>
        <v>1093</v>
      </c>
      <c r="T440" s="84">
        <f>'HKL1720'!J12</f>
        <v>1275.9000000000001</v>
      </c>
      <c r="U440" s="84">
        <f>'[1]April-18'!U23</f>
        <v>1</v>
      </c>
      <c r="V440" s="84">
        <f t="shared" si="684"/>
        <v>182.90000000000009</v>
      </c>
      <c r="W440" s="84"/>
      <c r="X440" s="84"/>
      <c r="Y440" s="85">
        <f t="shared" si="917"/>
        <v>2.1255555555555552</v>
      </c>
      <c r="Z440" s="84"/>
      <c r="AA440" s="82" t="str">
        <f>'HKL1720'!B12</f>
        <v>01.12.2019</v>
      </c>
    </row>
    <row r="441" spans="1:27" s="40" customFormat="1" ht="39.950000000000003" hidden="1" customHeight="1" x14ac:dyDescent="0.25">
      <c r="A441" s="49">
        <v>6</v>
      </c>
      <c r="B441" s="50" t="str">
        <f t="shared" si="918"/>
        <v>H D Kote</v>
      </c>
      <c r="C441" s="50" t="str">
        <f t="shared" si="918"/>
        <v>HDKOTE/1714</v>
      </c>
      <c r="D441" s="50" t="str">
        <f t="shared" si="918"/>
        <v>GOVT URDU PRIMARY SCHOOL</v>
      </c>
      <c r="E441" s="50" t="str">
        <f t="shared" si="918"/>
        <v>HKL1720</v>
      </c>
      <c r="F441" s="50">
        <f t="shared" si="918"/>
        <v>0.12</v>
      </c>
      <c r="G441" s="50" t="str">
        <f t="shared" si="918"/>
        <v>GOVT</v>
      </c>
      <c r="H441" s="50" t="str">
        <f t="shared" si="918"/>
        <v>IPDS</v>
      </c>
      <c r="I441" s="50">
        <f t="shared" si="918"/>
        <v>3</v>
      </c>
      <c r="J441" s="50" t="str">
        <f t="shared" si="918"/>
        <v>LT 2</v>
      </c>
      <c r="K441" s="84">
        <f>'HKL1720'!Q13</f>
        <v>1345.3</v>
      </c>
      <c r="L441" s="84">
        <f>'HKL1720'!P13</f>
        <v>1345.3</v>
      </c>
      <c r="M441" s="84">
        <f>M440</f>
        <v>1</v>
      </c>
      <c r="N441" s="84">
        <f t="shared" si="0"/>
        <v>0</v>
      </c>
      <c r="O441" s="84">
        <f>'HKL1720'!F13</f>
        <v>72.3</v>
      </c>
      <c r="P441" s="84">
        <f>'HKL1720'!E13</f>
        <v>73.2</v>
      </c>
      <c r="Q441" s="84">
        <f t="shared" si="919"/>
        <v>1</v>
      </c>
      <c r="R441" s="84">
        <f t="shared" si="683"/>
        <v>0.90000000000000568</v>
      </c>
      <c r="S441" s="84">
        <f>'HKL1720'!K13</f>
        <v>1275.9000000000001</v>
      </c>
      <c r="T441" s="84">
        <f>'HKL1720'!J13</f>
        <v>1275.9000000000001</v>
      </c>
      <c r="U441" s="84">
        <f>U440</f>
        <v>1</v>
      </c>
      <c r="V441" s="84">
        <f t="shared" si="684"/>
        <v>0</v>
      </c>
      <c r="W441" s="84"/>
      <c r="X441" s="84"/>
      <c r="Y441" s="85">
        <f t="shared" si="917"/>
        <v>0</v>
      </c>
      <c r="Z441" s="84" t="s">
        <v>256</v>
      </c>
      <c r="AA441" s="82" t="str">
        <f>'HKL1720'!B13</f>
        <v>01.01.2020</v>
      </c>
    </row>
    <row r="442" spans="1:27" s="40" customFormat="1" ht="39.950000000000003" hidden="1" customHeight="1" x14ac:dyDescent="0.25">
      <c r="A442" s="49">
        <v>7</v>
      </c>
      <c r="B442" s="50" t="str">
        <f t="shared" si="918"/>
        <v>H D Kote</v>
      </c>
      <c r="C442" s="50" t="str">
        <f t="shared" si="918"/>
        <v>HDKOTE/1714</v>
      </c>
      <c r="D442" s="50" t="str">
        <f t="shared" si="918"/>
        <v>GOVT URDU PRIMARY SCHOOL</v>
      </c>
      <c r="E442" s="50" t="str">
        <f t="shared" si="918"/>
        <v>HKL1720</v>
      </c>
      <c r="F442" s="50">
        <f t="shared" si="918"/>
        <v>0.12</v>
      </c>
      <c r="G442" s="50" t="str">
        <f t="shared" si="918"/>
        <v>GOVT</v>
      </c>
      <c r="H442" s="50" t="str">
        <f t="shared" si="918"/>
        <v>IPDS</v>
      </c>
      <c r="I442" s="50">
        <f t="shared" si="918"/>
        <v>3</v>
      </c>
      <c r="J442" s="50" t="str">
        <f t="shared" si="918"/>
        <v>LT 2</v>
      </c>
      <c r="K442" s="84">
        <f>'HKL1720'!Q14</f>
        <v>1345.3</v>
      </c>
      <c r="L442" s="84">
        <f>'HKL1720'!P14</f>
        <v>1477.8</v>
      </c>
      <c r="M442" s="84">
        <f>'[1]April-18'!M25</f>
        <v>1</v>
      </c>
      <c r="N442" s="84">
        <f t="shared" si="0"/>
        <v>132.5</v>
      </c>
      <c r="O442" s="84">
        <f>'HKL1720'!F14</f>
        <v>73.2</v>
      </c>
      <c r="P442" s="84">
        <f>'HKL1720'!E14</f>
        <v>76.7</v>
      </c>
      <c r="Q442" s="84">
        <f t="shared" si="919"/>
        <v>1</v>
      </c>
      <c r="R442" s="84">
        <f t="shared" si="683"/>
        <v>3.5</v>
      </c>
      <c r="S442" s="84">
        <f>'HKL1720'!K14</f>
        <v>1275.9000000000001</v>
      </c>
      <c r="T442" s="84">
        <f>'HKL1720'!J14</f>
        <v>1403.9</v>
      </c>
      <c r="U442" s="84">
        <f>'[1]April-18'!U25</f>
        <v>1</v>
      </c>
      <c r="V442" s="84">
        <f t="shared" si="684"/>
        <v>128</v>
      </c>
      <c r="W442" s="84"/>
      <c r="X442" s="84"/>
      <c r="Y442" s="85">
        <f t="shared" si="917"/>
        <v>1.4722222222222223</v>
      </c>
      <c r="Z442" s="84" t="s">
        <v>256</v>
      </c>
      <c r="AA442" s="82" t="s">
        <v>253</v>
      </c>
    </row>
    <row r="443" spans="1:27" s="40" customFormat="1" ht="39.950000000000003" hidden="1" customHeight="1" x14ac:dyDescent="0.25">
      <c r="A443" s="49">
        <v>8</v>
      </c>
      <c r="B443" s="50" t="str">
        <f t="shared" ref="B443:J443" si="920">B442</f>
        <v>H D Kote</v>
      </c>
      <c r="C443" s="50" t="str">
        <f t="shared" si="920"/>
        <v>HDKOTE/1714</v>
      </c>
      <c r="D443" s="50" t="str">
        <f t="shared" si="920"/>
        <v>GOVT URDU PRIMARY SCHOOL</v>
      </c>
      <c r="E443" s="50" t="str">
        <f t="shared" si="920"/>
        <v>HKL1720</v>
      </c>
      <c r="F443" s="50">
        <f t="shared" si="920"/>
        <v>0.12</v>
      </c>
      <c r="G443" s="50" t="str">
        <f t="shared" si="920"/>
        <v>GOVT</v>
      </c>
      <c r="H443" s="50" t="str">
        <f t="shared" si="920"/>
        <v>IPDS</v>
      </c>
      <c r="I443" s="50">
        <f t="shared" si="920"/>
        <v>3</v>
      </c>
      <c r="J443" s="50" t="str">
        <f t="shared" si="920"/>
        <v>LT 2</v>
      </c>
      <c r="K443" s="84">
        <f>'HKL1720'!Q15</f>
        <v>1477.8</v>
      </c>
      <c r="L443" s="84">
        <f>'HKL1720'!P15</f>
        <v>1795</v>
      </c>
      <c r="M443" s="84">
        <f t="shared" ref="M443" si="921">M442</f>
        <v>1</v>
      </c>
      <c r="N443" s="84">
        <f t="shared" ref="N443:N448" si="922">(L443-K443)*M443</f>
        <v>317.20000000000005</v>
      </c>
      <c r="O443" s="84">
        <f>'HKL1720'!F15</f>
        <v>76.7</v>
      </c>
      <c r="P443" s="84">
        <f>'HKL1720'!E15</f>
        <v>78</v>
      </c>
      <c r="Q443" s="84">
        <f t="shared" si="919"/>
        <v>1</v>
      </c>
      <c r="R443" s="84">
        <f t="shared" ref="R443:R448" si="923">(P443-O443)*Q443</f>
        <v>1.2999999999999972</v>
      </c>
      <c r="S443" s="84">
        <f>'HKL1720'!K15</f>
        <v>1403.9</v>
      </c>
      <c r="T443" s="84">
        <f>'HKL1720'!J15</f>
        <v>1708.7</v>
      </c>
      <c r="U443" s="84">
        <f t="shared" ref="U443" si="924">U442</f>
        <v>1</v>
      </c>
      <c r="V443" s="84">
        <f t="shared" ref="V443:V448" si="925">(T443-S443)*U443</f>
        <v>304.79999999999995</v>
      </c>
      <c r="W443" s="84"/>
      <c r="X443" s="84"/>
      <c r="Y443" s="85">
        <f t="shared" ref="Y443:Y448" si="926">N443/30/I443</f>
        <v>3.5244444444444447</v>
      </c>
      <c r="Z443" s="84"/>
      <c r="AA443" s="82" t="s">
        <v>254</v>
      </c>
    </row>
    <row r="444" spans="1:27" s="40" customFormat="1" ht="39.950000000000003" hidden="1" customHeight="1" x14ac:dyDescent="0.25">
      <c r="A444" s="49">
        <v>9</v>
      </c>
      <c r="B444" s="50" t="str">
        <f t="shared" ref="B444:J444" si="927">B443</f>
        <v>H D Kote</v>
      </c>
      <c r="C444" s="50" t="str">
        <f t="shared" si="927"/>
        <v>HDKOTE/1714</v>
      </c>
      <c r="D444" s="50" t="str">
        <f t="shared" si="927"/>
        <v>GOVT URDU PRIMARY SCHOOL</v>
      </c>
      <c r="E444" s="50" t="str">
        <f t="shared" si="927"/>
        <v>HKL1720</v>
      </c>
      <c r="F444" s="50">
        <f t="shared" si="927"/>
        <v>0.12</v>
      </c>
      <c r="G444" s="50" t="str">
        <f t="shared" si="927"/>
        <v>GOVT</v>
      </c>
      <c r="H444" s="50" t="str">
        <f t="shared" si="927"/>
        <v>IPDS</v>
      </c>
      <c r="I444" s="50">
        <f t="shared" si="927"/>
        <v>3</v>
      </c>
      <c r="J444" s="50" t="str">
        <f t="shared" si="927"/>
        <v>LT 2</v>
      </c>
      <c r="K444" s="84">
        <f>'HKL1720'!Q16</f>
        <v>1795</v>
      </c>
      <c r="L444" s="84">
        <f>'HKL1720'!P16</f>
        <v>2135</v>
      </c>
      <c r="M444" s="84">
        <f>M443</f>
        <v>1</v>
      </c>
      <c r="N444" s="84">
        <f t="shared" si="922"/>
        <v>340</v>
      </c>
      <c r="O444" s="84">
        <f>'HKL1720'!F16</f>
        <v>78</v>
      </c>
      <c r="P444" s="84">
        <f>'HKL1720'!E16</f>
        <v>79.2</v>
      </c>
      <c r="Q444" s="84">
        <f t="shared" si="919"/>
        <v>1</v>
      </c>
      <c r="R444" s="84">
        <f t="shared" si="923"/>
        <v>1.2000000000000028</v>
      </c>
      <c r="S444" s="84">
        <f>'HKL1720'!K16</f>
        <v>1708.7</v>
      </c>
      <c r="T444" s="84">
        <f>'HKL1720'!J16</f>
        <v>2053.6999999999998</v>
      </c>
      <c r="U444" s="84">
        <f>U443</f>
        <v>1</v>
      </c>
      <c r="V444" s="84">
        <f t="shared" si="925"/>
        <v>344.99999999999977</v>
      </c>
      <c r="W444" s="84"/>
      <c r="X444" s="84"/>
      <c r="Y444" s="85">
        <f t="shared" si="926"/>
        <v>3.7777777777777781</v>
      </c>
      <c r="Z444" s="84"/>
      <c r="AA444" s="82" t="s">
        <v>258</v>
      </c>
    </row>
    <row r="445" spans="1:27" s="40" customFormat="1" ht="39.950000000000003" hidden="1" customHeight="1" x14ac:dyDescent="0.25">
      <c r="A445" s="49">
        <v>10</v>
      </c>
      <c r="B445" s="50" t="str">
        <f t="shared" ref="B445:J445" si="928">B444</f>
        <v>H D Kote</v>
      </c>
      <c r="C445" s="50" t="str">
        <f t="shared" si="928"/>
        <v>HDKOTE/1714</v>
      </c>
      <c r="D445" s="50" t="str">
        <f t="shared" si="928"/>
        <v>GOVT URDU PRIMARY SCHOOL</v>
      </c>
      <c r="E445" s="50" t="str">
        <f t="shared" si="928"/>
        <v>HKL1720</v>
      </c>
      <c r="F445" s="50">
        <f t="shared" si="928"/>
        <v>0.12</v>
      </c>
      <c r="G445" s="50" t="str">
        <f t="shared" si="928"/>
        <v>GOVT</v>
      </c>
      <c r="H445" s="50" t="str">
        <f t="shared" si="928"/>
        <v>IPDS</v>
      </c>
      <c r="I445" s="50">
        <f t="shared" si="928"/>
        <v>3</v>
      </c>
      <c r="J445" s="50" t="str">
        <f t="shared" si="928"/>
        <v>LT 2</v>
      </c>
      <c r="K445" s="84">
        <f>'HKL1720'!Q17</f>
        <v>0</v>
      </c>
      <c r="L445" s="84">
        <f>'HKL1720'!P17</f>
        <v>0</v>
      </c>
      <c r="M445" s="84">
        <f t="shared" ref="M445" si="929">M444</f>
        <v>1</v>
      </c>
      <c r="N445" s="84">
        <f t="shared" si="922"/>
        <v>0</v>
      </c>
      <c r="O445" s="84">
        <f>'HKL1720'!F17</f>
        <v>0</v>
      </c>
      <c r="P445" s="84">
        <f>'HKL1720'!E17</f>
        <v>0</v>
      </c>
      <c r="Q445" s="84">
        <f t="shared" si="919"/>
        <v>1</v>
      </c>
      <c r="R445" s="84">
        <f t="shared" si="923"/>
        <v>0</v>
      </c>
      <c r="S445" s="84">
        <f>'HKL1720'!K17</f>
        <v>0</v>
      </c>
      <c r="T445" s="84">
        <f>'HKL1720'!J17</f>
        <v>0</v>
      </c>
      <c r="U445" s="84">
        <f t="shared" ref="U445" si="930">U444</f>
        <v>1</v>
      </c>
      <c r="V445" s="84">
        <f t="shared" si="925"/>
        <v>0</v>
      </c>
      <c r="W445" s="84"/>
      <c r="X445" s="84"/>
      <c r="Y445" s="85">
        <f t="shared" si="926"/>
        <v>0</v>
      </c>
      <c r="Z445" s="84"/>
      <c r="AA445" s="82"/>
    </row>
    <row r="446" spans="1:27" s="40" customFormat="1" ht="39.950000000000003" hidden="1" customHeight="1" x14ac:dyDescent="0.25">
      <c r="A446" s="49">
        <v>11</v>
      </c>
      <c r="B446" s="50" t="str">
        <f t="shared" ref="B446:J446" si="931">B445</f>
        <v>H D Kote</v>
      </c>
      <c r="C446" s="50" t="str">
        <f t="shared" si="931"/>
        <v>HDKOTE/1714</v>
      </c>
      <c r="D446" s="50" t="str">
        <f t="shared" si="931"/>
        <v>GOVT URDU PRIMARY SCHOOL</v>
      </c>
      <c r="E446" s="50" t="str">
        <f t="shared" si="931"/>
        <v>HKL1720</v>
      </c>
      <c r="F446" s="50">
        <f t="shared" si="931"/>
        <v>0.12</v>
      </c>
      <c r="G446" s="50" t="str">
        <f t="shared" si="931"/>
        <v>GOVT</v>
      </c>
      <c r="H446" s="50" t="str">
        <f t="shared" si="931"/>
        <v>IPDS</v>
      </c>
      <c r="I446" s="50">
        <f t="shared" si="931"/>
        <v>3</v>
      </c>
      <c r="J446" s="50" t="str">
        <f t="shared" si="931"/>
        <v>LT 2</v>
      </c>
      <c r="K446" s="84">
        <f>'HKL1720'!Q18</f>
        <v>2135</v>
      </c>
      <c r="L446" s="84">
        <f>'HKL1720'!P18</f>
        <v>2480</v>
      </c>
      <c r="M446" s="84">
        <f>'[1]April-18'!M29</f>
        <v>1</v>
      </c>
      <c r="N446" s="84">
        <f t="shared" si="922"/>
        <v>345</v>
      </c>
      <c r="O446" s="84">
        <f>'HKL1720'!F18</f>
        <v>79.2</v>
      </c>
      <c r="P446" s="84">
        <f>'HKL1720'!E18</f>
        <v>80.2</v>
      </c>
      <c r="Q446" s="84">
        <f t="shared" si="919"/>
        <v>1</v>
      </c>
      <c r="R446" s="84">
        <f t="shared" si="923"/>
        <v>1</v>
      </c>
      <c r="S446" s="84">
        <f>'HKL1720'!K18</f>
        <v>2053.6999999999998</v>
      </c>
      <c r="T446" s="84">
        <f>'HKL1720'!J18</f>
        <v>2403.6999999999998</v>
      </c>
      <c r="U446" s="84">
        <f>'[1]April-18'!U29</f>
        <v>1</v>
      </c>
      <c r="V446" s="84">
        <f t="shared" si="925"/>
        <v>350</v>
      </c>
      <c r="W446" s="84"/>
      <c r="X446" s="84"/>
      <c r="Y446" s="85">
        <f t="shared" si="926"/>
        <v>3.8333333333333335</v>
      </c>
      <c r="Z446" s="84"/>
      <c r="AA446" s="82" t="s">
        <v>259</v>
      </c>
    </row>
    <row r="447" spans="1:27" s="40" customFormat="1" ht="39.950000000000003" hidden="1" customHeight="1" x14ac:dyDescent="0.25">
      <c r="A447" s="49">
        <v>12</v>
      </c>
      <c r="B447" s="50" t="str">
        <f t="shared" ref="B447:J447" si="932">B446</f>
        <v>H D Kote</v>
      </c>
      <c r="C447" s="50" t="str">
        <f t="shared" si="932"/>
        <v>HDKOTE/1714</v>
      </c>
      <c r="D447" s="50" t="str">
        <f t="shared" si="932"/>
        <v>GOVT URDU PRIMARY SCHOOL</v>
      </c>
      <c r="E447" s="50" t="str">
        <f t="shared" si="932"/>
        <v>HKL1720</v>
      </c>
      <c r="F447" s="50">
        <f t="shared" si="932"/>
        <v>0.12</v>
      </c>
      <c r="G447" s="50" t="str">
        <f t="shared" si="932"/>
        <v>GOVT</v>
      </c>
      <c r="H447" s="50" t="str">
        <f t="shared" si="932"/>
        <v>IPDS</v>
      </c>
      <c r="I447" s="50">
        <f t="shared" si="932"/>
        <v>3</v>
      </c>
      <c r="J447" s="50" t="str">
        <f t="shared" si="932"/>
        <v>LT 2</v>
      </c>
      <c r="K447" s="84">
        <f>'HKL1720'!Q19</f>
        <v>2480</v>
      </c>
      <c r="L447" s="84">
        <f>'HKL1720'!P19</f>
        <v>2819</v>
      </c>
      <c r="M447" s="84">
        <f t="shared" ref="M447:M453" si="933">M446</f>
        <v>1</v>
      </c>
      <c r="N447" s="84">
        <f t="shared" si="922"/>
        <v>339</v>
      </c>
      <c r="O447" s="84">
        <f>'HKL1720'!F19</f>
        <v>80.2</v>
      </c>
      <c r="P447" s="84">
        <f>'HKL1720'!E19</f>
        <v>81.5</v>
      </c>
      <c r="Q447" s="84">
        <f t="shared" si="919"/>
        <v>1</v>
      </c>
      <c r="R447" s="84">
        <f t="shared" si="923"/>
        <v>1.2999999999999972</v>
      </c>
      <c r="S447" s="84">
        <f>'HKL1720'!K19</f>
        <v>2403.6999999999998</v>
      </c>
      <c r="T447" s="84">
        <f>'HKL1720'!J19</f>
        <v>2753.7</v>
      </c>
      <c r="U447" s="84">
        <f t="shared" ref="U447:U453" si="934">U446</f>
        <v>1</v>
      </c>
      <c r="V447" s="84">
        <f t="shared" si="925"/>
        <v>350</v>
      </c>
      <c r="W447" s="84"/>
      <c r="X447" s="84"/>
      <c r="Y447" s="85">
        <f t="shared" si="926"/>
        <v>3.7666666666666671</v>
      </c>
      <c r="Z447" s="84"/>
      <c r="AA447" s="82" t="s">
        <v>263</v>
      </c>
    </row>
    <row r="448" spans="1:27" s="40" customFormat="1" ht="39.950000000000003" hidden="1" customHeight="1" x14ac:dyDescent="0.25">
      <c r="A448" s="49">
        <v>13</v>
      </c>
      <c r="B448" s="50" t="str">
        <f t="shared" ref="B448:J448" si="935">B447</f>
        <v>H D Kote</v>
      </c>
      <c r="C448" s="50" t="str">
        <f t="shared" si="935"/>
        <v>HDKOTE/1714</v>
      </c>
      <c r="D448" s="50" t="str">
        <f t="shared" si="935"/>
        <v>GOVT URDU PRIMARY SCHOOL</v>
      </c>
      <c r="E448" s="50" t="str">
        <f t="shared" si="935"/>
        <v>HKL1720</v>
      </c>
      <c r="F448" s="50">
        <f t="shared" si="935"/>
        <v>0.12</v>
      </c>
      <c r="G448" s="50" t="str">
        <f t="shared" si="935"/>
        <v>GOVT</v>
      </c>
      <c r="H448" s="50" t="str">
        <f t="shared" si="935"/>
        <v>IPDS</v>
      </c>
      <c r="I448" s="50">
        <f t="shared" si="935"/>
        <v>3</v>
      </c>
      <c r="J448" s="50" t="str">
        <f t="shared" si="935"/>
        <v>LT 2</v>
      </c>
      <c r="K448" s="84">
        <f>'HKL1720'!Q20</f>
        <v>2819</v>
      </c>
      <c r="L448" s="84">
        <f>'HKL1720'!P20</f>
        <v>3176.9</v>
      </c>
      <c r="M448" s="84">
        <f>'[1]April-18'!M31</f>
        <v>1</v>
      </c>
      <c r="N448" s="84">
        <f t="shared" si="922"/>
        <v>357.90000000000009</v>
      </c>
      <c r="O448" s="84">
        <f>'HKL1720'!F20</f>
        <v>81.5</v>
      </c>
      <c r="P448" s="84">
        <f>'HKL1720'!E20</f>
        <v>83.6</v>
      </c>
      <c r="Q448" s="84">
        <f t="shared" si="919"/>
        <v>1</v>
      </c>
      <c r="R448" s="84">
        <f t="shared" si="923"/>
        <v>2.0999999999999943</v>
      </c>
      <c r="S448" s="84">
        <f>'HKL1720'!K20</f>
        <v>2753.7</v>
      </c>
      <c r="T448" s="84">
        <f>'HKL1720'!J20</f>
        <v>3110.8</v>
      </c>
      <c r="U448" s="84">
        <f>'[1]April-18'!U31</f>
        <v>1</v>
      </c>
      <c r="V448" s="84">
        <f t="shared" si="925"/>
        <v>357.10000000000036</v>
      </c>
      <c r="W448" s="84"/>
      <c r="X448" s="84"/>
      <c r="Y448" s="85">
        <f t="shared" si="926"/>
        <v>3.9766666666666679</v>
      </c>
      <c r="Z448" s="84"/>
      <c r="AA448" s="82" t="s">
        <v>265</v>
      </c>
    </row>
    <row r="449" spans="1:27" s="40" customFormat="1" ht="39.950000000000003" hidden="1" customHeight="1" x14ac:dyDescent="0.25">
      <c r="A449" s="49">
        <v>14</v>
      </c>
      <c r="B449" s="50" t="str">
        <f t="shared" ref="B449:J449" si="936">B448</f>
        <v>H D Kote</v>
      </c>
      <c r="C449" s="50" t="str">
        <f t="shared" si="936"/>
        <v>HDKOTE/1714</v>
      </c>
      <c r="D449" s="50" t="str">
        <f t="shared" si="936"/>
        <v>GOVT URDU PRIMARY SCHOOL</v>
      </c>
      <c r="E449" s="50" t="str">
        <f t="shared" si="936"/>
        <v>HKL1720</v>
      </c>
      <c r="F449" s="50">
        <f t="shared" si="936"/>
        <v>0.12</v>
      </c>
      <c r="G449" s="50" t="str">
        <f t="shared" si="936"/>
        <v>GOVT</v>
      </c>
      <c r="H449" s="50" t="str">
        <f t="shared" si="936"/>
        <v>IPDS</v>
      </c>
      <c r="I449" s="50">
        <f t="shared" si="936"/>
        <v>3</v>
      </c>
      <c r="J449" s="50" t="str">
        <f t="shared" si="936"/>
        <v>LT 2</v>
      </c>
      <c r="K449" s="84">
        <f>'HKL1720'!Q21</f>
        <v>3176.9</v>
      </c>
      <c r="L449" s="84">
        <f>'HKL1720'!P21</f>
        <v>3462.9</v>
      </c>
      <c r="M449" s="84">
        <f t="shared" si="933"/>
        <v>1</v>
      </c>
      <c r="N449" s="84">
        <f t="shared" ref="N449:N454" si="937">(L449-K449)*M449</f>
        <v>286</v>
      </c>
      <c r="O449" s="84">
        <f>'HKL1720'!F21</f>
        <v>83.6</v>
      </c>
      <c r="P449" s="84">
        <f>'HKL1720'!E21</f>
        <v>85</v>
      </c>
      <c r="Q449" s="84">
        <f t="shared" si="919"/>
        <v>1</v>
      </c>
      <c r="R449" s="84">
        <f t="shared" ref="R449:R454" si="938">(P449-O449)*Q449</f>
        <v>1.4000000000000057</v>
      </c>
      <c r="S449" s="84">
        <f>'HKL1720'!K21</f>
        <v>3110.8</v>
      </c>
      <c r="T449" s="84">
        <f>'HKL1720'!J21</f>
        <v>3395.8</v>
      </c>
      <c r="U449" s="84">
        <f t="shared" si="934"/>
        <v>1</v>
      </c>
      <c r="V449" s="84">
        <f t="shared" ref="V449:V454" si="939">(T449-S449)*U449</f>
        <v>285</v>
      </c>
      <c r="W449" s="84"/>
      <c r="X449" s="84"/>
      <c r="Y449" s="85">
        <f t="shared" ref="Y449:Y454" si="940">N449/30/I449</f>
        <v>3.1777777777777776</v>
      </c>
      <c r="Z449" s="84"/>
      <c r="AA449" s="82"/>
    </row>
    <row r="450" spans="1:27" s="40" customFormat="1" ht="39.950000000000003" hidden="1" customHeight="1" x14ac:dyDescent="0.25">
      <c r="A450" s="49">
        <v>15</v>
      </c>
      <c r="B450" s="50" t="str">
        <f t="shared" ref="B450:J450" si="941">B449</f>
        <v>H D Kote</v>
      </c>
      <c r="C450" s="50" t="str">
        <f t="shared" si="941"/>
        <v>HDKOTE/1714</v>
      </c>
      <c r="D450" s="50" t="str">
        <f t="shared" si="941"/>
        <v>GOVT URDU PRIMARY SCHOOL</v>
      </c>
      <c r="E450" s="50" t="str">
        <f t="shared" si="941"/>
        <v>HKL1720</v>
      </c>
      <c r="F450" s="50">
        <f t="shared" si="941"/>
        <v>0.12</v>
      </c>
      <c r="G450" s="50" t="str">
        <f t="shared" si="941"/>
        <v>GOVT</v>
      </c>
      <c r="H450" s="50" t="str">
        <f t="shared" si="941"/>
        <v>IPDS</v>
      </c>
      <c r="I450" s="50">
        <f t="shared" si="941"/>
        <v>3</v>
      </c>
      <c r="J450" s="50" t="str">
        <f t="shared" si="941"/>
        <v>LT 2</v>
      </c>
      <c r="K450" s="84">
        <f>'HKL1720'!Q22</f>
        <v>3462.9</v>
      </c>
      <c r="L450" s="84">
        <f>'HKL1720'!P22</f>
        <v>3741</v>
      </c>
      <c r="M450" s="84">
        <f>M449</f>
        <v>1</v>
      </c>
      <c r="N450" s="84">
        <f t="shared" si="937"/>
        <v>278.09999999999991</v>
      </c>
      <c r="O450" s="84">
        <f>'HKL1720'!F22</f>
        <v>85</v>
      </c>
      <c r="P450" s="84">
        <f>'HKL1720'!E22</f>
        <v>87.5</v>
      </c>
      <c r="Q450" s="84">
        <f t="shared" si="919"/>
        <v>1</v>
      </c>
      <c r="R450" s="84">
        <f t="shared" si="938"/>
        <v>2.5</v>
      </c>
      <c r="S450" s="84">
        <f>'HKL1720'!K22</f>
        <v>3395.8</v>
      </c>
      <c r="T450" s="84">
        <f>'HKL1720'!J22</f>
        <v>3648.9</v>
      </c>
      <c r="U450" s="84">
        <f>U449</f>
        <v>1</v>
      </c>
      <c r="V450" s="84">
        <f t="shared" si="939"/>
        <v>253.09999999999991</v>
      </c>
      <c r="W450" s="84"/>
      <c r="X450" s="84"/>
      <c r="Y450" s="85">
        <f t="shared" si="940"/>
        <v>3.0899999999999994</v>
      </c>
      <c r="Z450" s="84"/>
      <c r="AA450" s="82"/>
    </row>
    <row r="451" spans="1:27" s="40" customFormat="1" ht="39.950000000000003" hidden="1" customHeight="1" x14ac:dyDescent="0.25">
      <c r="A451" s="49">
        <v>16</v>
      </c>
      <c r="B451" s="50" t="str">
        <f t="shared" ref="B451:J451" si="942">B450</f>
        <v>H D Kote</v>
      </c>
      <c r="C451" s="50" t="str">
        <f t="shared" si="942"/>
        <v>HDKOTE/1714</v>
      </c>
      <c r="D451" s="50" t="str">
        <f t="shared" si="942"/>
        <v>GOVT URDU PRIMARY SCHOOL</v>
      </c>
      <c r="E451" s="50" t="str">
        <f t="shared" si="942"/>
        <v>HKL1720</v>
      </c>
      <c r="F451" s="50">
        <f t="shared" si="942"/>
        <v>0.12</v>
      </c>
      <c r="G451" s="50" t="str">
        <f t="shared" si="942"/>
        <v>GOVT</v>
      </c>
      <c r="H451" s="50" t="str">
        <f t="shared" si="942"/>
        <v>IPDS</v>
      </c>
      <c r="I451" s="50">
        <f t="shared" si="942"/>
        <v>3</v>
      </c>
      <c r="J451" s="50" t="str">
        <f t="shared" si="942"/>
        <v>LT 2</v>
      </c>
      <c r="K451" s="84">
        <f>'HKL1720'!Q23</f>
        <v>3741</v>
      </c>
      <c r="L451" s="84">
        <f>'HKL1720'!P23</f>
        <v>4029.4</v>
      </c>
      <c r="M451" s="84">
        <f t="shared" si="933"/>
        <v>1</v>
      </c>
      <c r="N451" s="84">
        <f t="shared" si="937"/>
        <v>288.40000000000009</v>
      </c>
      <c r="O451" s="84">
        <f>'HKL1720'!F23</f>
        <v>87.5</v>
      </c>
      <c r="P451" s="84">
        <f>'HKL1720'!E23</f>
        <v>89.9</v>
      </c>
      <c r="Q451" s="84">
        <f t="shared" si="919"/>
        <v>1</v>
      </c>
      <c r="R451" s="84">
        <f t="shared" si="938"/>
        <v>2.4000000000000057</v>
      </c>
      <c r="S451" s="84">
        <f>'HKL1720'!K23</f>
        <v>3648.9</v>
      </c>
      <c r="T451" s="84">
        <f>'HKL1720'!J23</f>
        <v>3940.9</v>
      </c>
      <c r="U451" s="84">
        <f t="shared" si="934"/>
        <v>1</v>
      </c>
      <c r="V451" s="84">
        <f t="shared" si="939"/>
        <v>292</v>
      </c>
      <c r="W451" s="84"/>
      <c r="X451" s="84"/>
      <c r="Y451" s="85">
        <f t="shared" si="940"/>
        <v>3.2044444444444458</v>
      </c>
      <c r="Z451" s="84"/>
      <c r="AA451" s="82"/>
    </row>
    <row r="452" spans="1:27" s="40" customFormat="1" ht="39.950000000000003" hidden="1" customHeight="1" x14ac:dyDescent="0.25">
      <c r="A452" s="93">
        <v>17</v>
      </c>
      <c r="B452" s="50" t="str">
        <f t="shared" ref="B452:J452" si="943">B451</f>
        <v>H D Kote</v>
      </c>
      <c r="C452" s="50" t="str">
        <f t="shared" si="943"/>
        <v>HDKOTE/1714</v>
      </c>
      <c r="D452" s="50" t="str">
        <f t="shared" si="943"/>
        <v>GOVT URDU PRIMARY SCHOOL</v>
      </c>
      <c r="E452" s="50" t="str">
        <f t="shared" si="943"/>
        <v>HKL1720</v>
      </c>
      <c r="F452" s="50">
        <f t="shared" si="943"/>
        <v>0.12</v>
      </c>
      <c r="G452" s="50" t="str">
        <f t="shared" si="943"/>
        <v>GOVT</v>
      </c>
      <c r="H452" s="50" t="str">
        <f t="shared" si="943"/>
        <v>IPDS</v>
      </c>
      <c r="I452" s="50">
        <f t="shared" si="943"/>
        <v>3</v>
      </c>
      <c r="J452" s="50" t="str">
        <f t="shared" si="943"/>
        <v>LT 2</v>
      </c>
      <c r="K452" s="84">
        <f>'HKL1720'!Q24</f>
        <v>4029.4</v>
      </c>
      <c r="L452" s="84">
        <f>'HKL1720'!P24</f>
        <v>4303.3999999999996</v>
      </c>
      <c r="M452" s="84">
        <f>M451</f>
        <v>1</v>
      </c>
      <c r="N452" s="84">
        <f t="shared" si="937"/>
        <v>273.99999999999955</v>
      </c>
      <c r="O452" s="84">
        <f>'HKL1720'!F24</f>
        <v>89.9</v>
      </c>
      <c r="P452" s="84">
        <f>'HKL1720'!E24</f>
        <v>92</v>
      </c>
      <c r="Q452" s="84">
        <f t="shared" si="919"/>
        <v>1</v>
      </c>
      <c r="R452" s="84">
        <f t="shared" si="938"/>
        <v>2.0999999999999943</v>
      </c>
      <c r="S452" s="84">
        <f>'HKL1720'!K24</f>
        <v>3940.9</v>
      </c>
      <c r="T452" s="84">
        <f>'HKL1720'!J24</f>
        <v>4204.8999999999996</v>
      </c>
      <c r="U452" s="84">
        <f>'[1]April-18'!U35</f>
        <v>1</v>
      </c>
      <c r="V452" s="84">
        <f t="shared" si="939"/>
        <v>263.99999999999955</v>
      </c>
      <c r="W452" s="84"/>
      <c r="X452" s="84"/>
      <c r="Y452" s="85">
        <f t="shared" si="940"/>
        <v>3.0444444444444394</v>
      </c>
      <c r="Z452" s="84"/>
      <c r="AA452" s="82"/>
    </row>
    <row r="453" spans="1:27" s="40" customFormat="1" ht="39.950000000000003" hidden="1" customHeight="1" x14ac:dyDescent="0.25">
      <c r="A453" s="94">
        <v>18</v>
      </c>
      <c r="B453" s="50" t="str">
        <f t="shared" ref="B453:J453" si="944">B452</f>
        <v>H D Kote</v>
      </c>
      <c r="C453" s="50" t="str">
        <f t="shared" si="944"/>
        <v>HDKOTE/1714</v>
      </c>
      <c r="D453" s="50" t="str">
        <f t="shared" si="944"/>
        <v>GOVT URDU PRIMARY SCHOOL</v>
      </c>
      <c r="E453" s="50" t="str">
        <f t="shared" si="944"/>
        <v>HKL1720</v>
      </c>
      <c r="F453" s="50">
        <f t="shared" si="944"/>
        <v>0.12</v>
      </c>
      <c r="G453" s="50" t="str">
        <f t="shared" si="944"/>
        <v>GOVT</v>
      </c>
      <c r="H453" s="50" t="str">
        <f t="shared" si="944"/>
        <v>IPDS</v>
      </c>
      <c r="I453" s="50">
        <f t="shared" si="944"/>
        <v>3</v>
      </c>
      <c r="J453" s="50" t="str">
        <f t="shared" si="944"/>
        <v>LT 2</v>
      </c>
      <c r="K453" s="84">
        <f>'HKL1720'!Q25</f>
        <v>4303.3999999999996</v>
      </c>
      <c r="L453" s="84">
        <f>'HKL1720'!P25</f>
        <v>4604.3999999999996</v>
      </c>
      <c r="M453" s="84">
        <f t="shared" si="933"/>
        <v>1</v>
      </c>
      <c r="N453" s="84">
        <f t="shared" si="937"/>
        <v>301</v>
      </c>
      <c r="O453" s="84">
        <f>'HKL1720'!F25</f>
        <v>92</v>
      </c>
      <c r="P453" s="84">
        <f>'HKL1720'!E25</f>
        <v>93.3</v>
      </c>
      <c r="Q453" s="84">
        <f t="shared" si="919"/>
        <v>1</v>
      </c>
      <c r="R453" s="84">
        <f t="shared" si="938"/>
        <v>1.2999999999999972</v>
      </c>
      <c r="S453" s="84">
        <f>'HKL1720'!K25</f>
        <v>4204.8999999999996</v>
      </c>
      <c r="T453" s="84">
        <f>'HKL1720'!J25</f>
        <v>4502.8</v>
      </c>
      <c r="U453" s="84">
        <f t="shared" si="934"/>
        <v>1</v>
      </c>
      <c r="V453" s="84">
        <f t="shared" si="939"/>
        <v>297.90000000000055</v>
      </c>
      <c r="W453" s="84"/>
      <c r="X453" s="84"/>
      <c r="Y453" s="85">
        <f t="shared" si="940"/>
        <v>3.3444444444444446</v>
      </c>
      <c r="Z453" s="84"/>
      <c r="AA453" s="82"/>
    </row>
    <row r="454" spans="1:27" s="40" customFormat="1" ht="39.950000000000003" hidden="1" customHeight="1" x14ac:dyDescent="0.25">
      <c r="A454" s="95">
        <v>19</v>
      </c>
      <c r="B454" s="50" t="str">
        <f t="shared" ref="B454:J454" si="945">B453</f>
        <v>H D Kote</v>
      </c>
      <c r="C454" s="50" t="str">
        <f t="shared" si="945"/>
        <v>HDKOTE/1714</v>
      </c>
      <c r="D454" s="50" t="str">
        <f t="shared" si="945"/>
        <v>GOVT URDU PRIMARY SCHOOL</v>
      </c>
      <c r="E454" s="50" t="str">
        <f t="shared" si="945"/>
        <v>HKL1720</v>
      </c>
      <c r="F454" s="50">
        <f t="shared" si="945"/>
        <v>0.12</v>
      </c>
      <c r="G454" s="50" t="str">
        <f t="shared" si="945"/>
        <v>GOVT</v>
      </c>
      <c r="H454" s="50" t="str">
        <f t="shared" si="945"/>
        <v>IPDS</v>
      </c>
      <c r="I454" s="50">
        <f t="shared" si="945"/>
        <v>3</v>
      </c>
      <c r="J454" s="50" t="str">
        <f t="shared" si="945"/>
        <v>LT 2</v>
      </c>
      <c r="K454" s="84">
        <f>'HKL1720'!Q26</f>
        <v>4604.3999999999996</v>
      </c>
      <c r="L454" s="84">
        <f>'HKL1720'!P26</f>
        <v>5005</v>
      </c>
      <c r="M454" s="84">
        <f t="shared" ref="M454:M466" si="946">M453</f>
        <v>1</v>
      </c>
      <c r="N454" s="84">
        <f t="shared" si="937"/>
        <v>400.60000000000036</v>
      </c>
      <c r="O454" s="84">
        <f>'HKL1720'!F26</f>
        <v>93.3</v>
      </c>
      <c r="P454" s="84">
        <f>'HKL1720'!E26</f>
        <v>93.7</v>
      </c>
      <c r="Q454" s="84">
        <f t="shared" si="919"/>
        <v>1</v>
      </c>
      <c r="R454" s="84">
        <f t="shared" si="938"/>
        <v>0.40000000000000568</v>
      </c>
      <c r="S454" s="84">
        <f>'HKL1720'!K26</f>
        <v>4502.8</v>
      </c>
      <c r="T454" s="84">
        <f>'HKL1720'!J26</f>
        <v>4902.1000000000004</v>
      </c>
      <c r="U454" s="84">
        <f t="shared" ref="U454:U466" si="947">U453</f>
        <v>1</v>
      </c>
      <c r="V454" s="84">
        <f t="shared" si="939"/>
        <v>399.30000000000018</v>
      </c>
      <c r="W454" s="84"/>
      <c r="X454" s="84"/>
      <c r="Y454" s="85">
        <f t="shared" si="940"/>
        <v>4.451111111111115</v>
      </c>
      <c r="Z454" s="84"/>
      <c r="AA454" s="82"/>
    </row>
    <row r="455" spans="1:27" s="40" customFormat="1" ht="39.950000000000003" hidden="1" customHeight="1" x14ac:dyDescent="0.25">
      <c r="A455" s="49">
        <v>20</v>
      </c>
      <c r="B455" s="50" t="str">
        <f t="shared" ref="B455:J459" si="948">B454</f>
        <v>H D Kote</v>
      </c>
      <c r="C455" s="50" t="str">
        <f t="shared" si="948"/>
        <v>HDKOTE/1714</v>
      </c>
      <c r="D455" s="50" t="str">
        <f t="shared" si="948"/>
        <v>GOVT URDU PRIMARY SCHOOL</v>
      </c>
      <c r="E455" s="50" t="str">
        <f t="shared" si="948"/>
        <v>HKL1720</v>
      </c>
      <c r="F455" s="50">
        <f t="shared" si="948"/>
        <v>0.12</v>
      </c>
      <c r="G455" s="50" t="str">
        <f t="shared" si="948"/>
        <v>GOVT</v>
      </c>
      <c r="H455" s="50" t="str">
        <f t="shared" si="948"/>
        <v>IPDS</v>
      </c>
      <c r="I455" s="50">
        <f t="shared" si="948"/>
        <v>3</v>
      </c>
      <c r="J455" s="50" t="str">
        <f t="shared" si="948"/>
        <v>LT 2</v>
      </c>
      <c r="K455" s="84">
        <f>'HKL1720'!Q27</f>
        <v>5005</v>
      </c>
      <c r="L455" s="84">
        <f>'HKL1720'!P27</f>
        <v>5316.1</v>
      </c>
      <c r="M455" s="84">
        <f t="shared" si="946"/>
        <v>1</v>
      </c>
      <c r="N455" s="84">
        <f t="shared" ref="N455" si="949">(L455-K455)*M455</f>
        <v>311.10000000000036</v>
      </c>
      <c r="O455" s="84">
        <f>'HKL1720'!F27</f>
        <v>93.7</v>
      </c>
      <c r="P455" s="84">
        <f>'HKL1720'!E27</f>
        <v>94.8</v>
      </c>
      <c r="Q455" s="84">
        <f t="shared" si="919"/>
        <v>1</v>
      </c>
      <c r="R455" s="84">
        <f t="shared" ref="R455" si="950">(P455-O455)*Q455</f>
        <v>1.0999999999999943</v>
      </c>
      <c r="S455" s="84">
        <f>'HKL1720'!K27</f>
        <v>4902.1000000000004</v>
      </c>
      <c r="T455" s="84">
        <f>'HKL1720'!J27</f>
        <v>5230.8</v>
      </c>
      <c r="U455" s="84">
        <f t="shared" si="947"/>
        <v>1</v>
      </c>
      <c r="V455" s="84">
        <f t="shared" ref="V455" si="951">(T455-S455)*U455</f>
        <v>328.69999999999982</v>
      </c>
      <c r="W455" s="84"/>
      <c r="X455" s="84"/>
      <c r="Y455" s="85">
        <f t="shared" ref="Y455" si="952">N455/30/I455</f>
        <v>3.4566666666666706</v>
      </c>
      <c r="Z455" s="84"/>
      <c r="AA455" s="82"/>
    </row>
    <row r="456" spans="1:27" s="40" customFormat="1" ht="39.950000000000003" hidden="1" customHeight="1" x14ac:dyDescent="0.25">
      <c r="A456" s="49">
        <v>21</v>
      </c>
      <c r="B456" s="50" t="str">
        <f t="shared" si="948"/>
        <v>H D Kote</v>
      </c>
      <c r="C456" s="50" t="str">
        <f t="shared" si="948"/>
        <v>HDKOTE/1714</v>
      </c>
      <c r="D456" s="50" t="str">
        <f t="shared" si="948"/>
        <v>GOVT URDU PRIMARY SCHOOL</v>
      </c>
      <c r="E456" s="50" t="str">
        <f t="shared" si="948"/>
        <v>HKL1720</v>
      </c>
      <c r="F456" s="50">
        <f t="shared" si="948"/>
        <v>0.12</v>
      </c>
      <c r="G456" s="50" t="str">
        <f t="shared" si="948"/>
        <v>GOVT</v>
      </c>
      <c r="H456" s="50" t="str">
        <f t="shared" si="948"/>
        <v>IPDS</v>
      </c>
      <c r="I456" s="50">
        <f t="shared" si="948"/>
        <v>3</v>
      </c>
      <c r="J456" s="50" t="str">
        <f t="shared" si="948"/>
        <v>LT 2</v>
      </c>
      <c r="K456" s="84">
        <f>'HKL1720'!Q28</f>
        <v>5316.1</v>
      </c>
      <c r="L456" s="84">
        <f>'HKL1720'!P28</f>
        <v>5662.9</v>
      </c>
      <c r="M456" s="84">
        <f t="shared" si="946"/>
        <v>1</v>
      </c>
      <c r="N456" s="84">
        <f t="shared" ref="N456:N458" si="953">(L456-K456)*M456</f>
        <v>346.79999999999927</v>
      </c>
      <c r="O456" s="84">
        <f>'HKL1720'!F28</f>
        <v>94.8</v>
      </c>
      <c r="P456" s="84">
        <f>'HKL1720'!E28</f>
        <v>95</v>
      </c>
      <c r="Q456" s="84">
        <f t="shared" si="919"/>
        <v>1</v>
      </c>
      <c r="R456" s="84">
        <f t="shared" ref="R456:R458" si="954">(P456-O456)*Q456</f>
        <v>0.20000000000000284</v>
      </c>
      <c r="S456" s="84">
        <f>'HKL1720'!K28</f>
        <v>5230.8</v>
      </c>
      <c r="T456" s="84">
        <f>'HKL1720'!J28</f>
        <v>5565.8</v>
      </c>
      <c r="U456" s="84">
        <f t="shared" si="947"/>
        <v>1</v>
      </c>
      <c r="V456" s="84">
        <f t="shared" ref="V456:V458" si="955">(T456-S456)*U456</f>
        <v>335</v>
      </c>
      <c r="W456" s="84"/>
      <c r="X456" s="84"/>
      <c r="Y456" s="85">
        <f t="shared" ref="Y456:Y458" si="956">N456/30/I456</f>
        <v>3.8533333333333251</v>
      </c>
      <c r="Z456" s="84"/>
      <c r="AA456" s="82"/>
    </row>
    <row r="457" spans="1:27" s="40" customFormat="1" ht="39.950000000000003" hidden="1" customHeight="1" x14ac:dyDescent="0.25">
      <c r="A457" s="49">
        <v>22</v>
      </c>
      <c r="B457" s="50" t="str">
        <f t="shared" si="948"/>
        <v>H D Kote</v>
      </c>
      <c r="C457" s="50" t="str">
        <f t="shared" si="948"/>
        <v>HDKOTE/1714</v>
      </c>
      <c r="D457" s="50" t="str">
        <f t="shared" si="948"/>
        <v>GOVT URDU PRIMARY SCHOOL</v>
      </c>
      <c r="E457" s="50" t="str">
        <f t="shared" si="948"/>
        <v>HKL1720</v>
      </c>
      <c r="F457" s="50">
        <f t="shared" si="948"/>
        <v>0.12</v>
      </c>
      <c r="G457" s="50" t="str">
        <f t="shared" si="948"/>
        <v>GOVT</v>
      </c>
      <c r="H457" s="50" t="str">
        <f t="shared" si="948"/>
        <v>IPDS</v>
      </c>
      <c r="I457" s="50">
        <f t="shared" si="948"/>
        <v>3</v>
      </c>
      <c r="J457" s="50" t="str">
        <f t="shared" si="948"/>
        <v>LT 2</v>
      </c>
      <c r="K457" s="84">
        <f>'HKL1720'!Q29</f>
        <v>5662.9</v>
      </c>
      <c r="L457" s="84">
        <f>'HKL1720'!P29</f>
        <v>6006.2</v>
      </c>
      <c r="M457" s="84">
        <f t="shared" si="946"/>
        <v>1</v>
      </c>
      <c r="N457" s="84">
        <f t="shared" si="953"/>
        <v>343.30000000000018</v>
      </c>
      <c r="O457" s="84">
        <f>'HKL1720'!F29</f>
        <v>95</v>
      </c>
      <c r="P457" s="84">
        <f>'HKL1720'!E29</f>
        <v>95.3</v>
      </c>
      <c r="Q457" s="84">
        <f t="shared" si="919"/>
        <v>1</v>
      </c>
      <c r="R457" s="84">
        <f t="shared" si="954"/>
        <v>0.29999999999999716</v>
      </c>
      <c r="S457" s="84">
        <f>'HKL1720'!K29</f>
        <v>5565.8</v>
      </c>
      <c r="T457" s="84">
        <f>'HKL1720'!J29</f>
        <v>5909.1</v>
      </c>
      <c r="U457" s="84">
        <f t="shared" si="947"/>
        <v>1</v>
      </c>
      <c r="V457" s="84">
        <f t="shared" si="955"/>
        <v>343.30000000000018</v>
      </c>
      <c r="W457" s="84"/>
      <c r="X457" s="84"/>
      <c r="Y457" s="85">
        <f t="shared" si="956"/>
        <v>3.8144444444444461</v>
      </c>
      <c r="Z457" s="84"/>
      <c r="AA457" s="82"/>
    </row>
    <row r="458" spans="1:27" s="40" customFormat="1" ht="39.950000000000003" hidden="1" customHeight="1" x14ac:dyDescent="0.25">
      <c r="A458" s="49">
        <v>23</v>
      </c>
      <c r="B458" s="50" t="str">
        <f t="shared" si="948"/>
        <v>H D Kote</v>
      </c>
      <c r="C458" s="50" t="str">
        <f t="shared" si="948"/>
        <v>HDKOTE/1714</v>
      </c>
      <c r="D458" s="50" t="str">
        <f t="shared" si="948"/>
        <v>GOVT URDU PRIMARY SCHOOL</v>
      </c>
      <c r="E458" s="50" t="str">
        <f t="shared" si="948"/>
        <v>HKL1720</v>
      </c>
      <c r="F458" s="50">
        <f t="shared" si="948"/>
        <v>0.12</v>
      </c>
      <c r="G458" s="50" t="str">
        <f t="shared" si="948"/>
        <v>GOVT</v>
      </c>
      <c r="H458" s="50" t="str">
        <f t="shared" si="948"/>
        <v>IPDS</v>
      </c>
      <c r="I458" s="50">
        <f t="shared" si="948"/>
        <v>3</v>
      </c>
      <c r="J458" s="50" t="str">
        <f t="shared" si="948"/>
        <v>LT 2</v>
      </c>
      <c r="K458" s="84">
        <f>'HKL1720'!Q31</f>
        <v>6006.2</v>
      </c>
      <c r="L458" s="84">
        <f>'HKL1720'!P31</f>
        <v>6306.2</v>
      </c>
      <c r="M458" s="84">
        <f t="shared" si="946"/>
        <v>1</v>
      </c>
      <c r="N458" s="84">
        <f t="shared" si="953"/>
        <v>300</v>
      </c>
      <c r="O458" s="84">
        <f>'HKL1720'!F31</f>
        <v>95.3</v>
      </c>
      <c r="P458" s="84">
        <f>'HKL1720'!E31</f>
        <v>96.399999999999991</v>
      </c>
      <c r="Q458" s="84">
        <f t="shared" si="919"/>
        <v>1</v>
      </c>
      <c r="R458" s="84">
        <f t="shared" si="954"/>
        <v>1.0999999999999943</v>
      </c>
      <c r="S458" s="84">
        <f>'HKL1720'!K31</f>
        <v>5909.1</v>
      </c>
      <c r="T458" s="84">
        <f>'HKL1720'!J31</f>
        <v>6208.1</v>
      </c>
      <c r="U458" s="84">
        <f t="shared" si="947"/>
        <v>1</v>
      </c>
      <c r="V458" s="84">
        <f t="shared" si="955"/>
        <v>299</v>
      </c>
      <c r="W458" s="84"/>
      <c r="X458" s="84"/>
      <c r="Y458" s="85">
        <f t="shared" si="956"/>
        <v>3.3333333333333335</v>
      </c>
      <c r="Z458" s="84"/>
      <c r="AA458" s="82"/>
    </row>
    <row r="459" spans="1:27" s="40" customFormat="1" ht="39.950000000000003" hidden="1" customHeight="1" x14ac:dyDescent="0.25">
      <c r="A459" s="49">
        <v>24</v>
      </c>
      <c r="B459" s="50" t="str">
        <f t="shared" si="948"/>
        <v>H D Kote</v>
      </c>
      <c r="C459" s="50" t="str">
        <f t="shared" si="948"/>
        <v>HDKOTE/1714</v>
      </c>
      <c r="D459" s="50" t="str">
        <f t="shared" si="948"/>
        <v>GOVT URDU PRIMARY SCHOOL</v>
      </c>
      <c r="E459" s="50" t="str">
        <f t="shared" si="948"/>
        <v>HKL1720</v>
      </c>
      <c r="F459" s="50">
        <f t="shared" si="948"/>
        <v>0.12</v>
      </c>
      <c r="G459" s="50" t="str">
        <f t="shared" si="948"/>
        <v>GOVT</v>
      </c>
      <c r="H459" s="50" t="str">
        <f t="shared" si="948"/>
        <v>IPDS</v>
      </c>
      <c r="I459" s="50">
        <f t="shared" si="948"/>
        <v>3</v>
      </c>
      <c r="J459" s="50" t="str">
        <f t="shared" si="948"/>
        <v>LT 2</v>
      </c>
      <c r="K459" s="84">
        <f>'HKL1720'!Q32</f>
        <v>6306.2</v>
      </c>
      <c r="L459" s="84">
        <f>'HKL1720'!P32</f>
        <v>6604.2</v>
      </c>
      <c r="M459" s="84">
        <f t="shared" si="946"/>
        <v>1</v>
      </c>
      <c r="N459" s="84">
        <f t="shared" ref="N459:N462" si="957">(L459-K459)*M459</f>
        <v>298</v>
      </c>
      <c r="O459" s="84">
        <f>'HKL1720'!F32</f>
        <v>96.399999999999991</v>
      </c>
      <c r="P459" s="84">
        <f>'HKL1720'!E32</f>
        <v>97.499999999999986</v>
      </c>
      <c r="Q459" s="84">
        <f t="shared" si="919"/>
        <v>1</v>
      </c>
      <c r="R459" s="84">
        <f t="shared" ref="R459:R462" si="958">(P459-O459)*Q459</f>
        <v>1.0999999999999943</v>
      </c>
      <c r="S459" s="84">
        <f>'HKL1720'!K32</f>
        <v>6208.1</v>
      </c>
      <c r="T459" s="84">
        <f>'HKL1720'!J32</f>
        <v>6506.1</v>
      </c>
      <c r="U459" s="84">
        <f t="shared" si="947"/>
        <v>1</v>
      </c>
      <c r="V459" s="84">
        <f t="shared" ref="V459:V462" si="959">(T459-S459)*U459</f>
        <v>298</v>
      </c>
      <c r="W459" s="84"/>
      <c r="X459" s="84"/>
      <c r="Y459" s="85">
        <f t="shared" ref="Y459:Y462" si="960">N459/30/I459</f>
        <v>3.3111111111111113</v>
      </c>
      <c r="Z459" s="84"/>
      <c r="AA459" s="82"/>
    </row>
    <row r="460" spans="1:27" s="40" customFormat="1" ht="39.950000000000003" hidden="1" customHeight="1" x14ac:dyDescent="0.25">
      <c r="A460" s="49">
        <v>25</v>
      </c>
      <c r="B460" s="50" t="str">
        <f t="shared" ref="B460:J460" si="961">B459</f>
        <v>H D Kote</v>
      </c>
      <c r="C460" s="50" t="str">
        <f t="shared" si="961"/>
        <v>HDKOTE/1714</v>
      </c>
      <c r="D460" s="50" t="str">
        <f t="shared" si="961"/>
        <v>GOVT URDU PRIMARY SCHOOL</v>
      </c>
      <c r="E460" s="50" t="str">
        <f t="shared" si="961"/>
        <v>HKL1720</v>
      </c>
      <c r="F460" s="50">
        <f t="shared" si="961"/>
        <v>0.12</v>
      </c>
      <c r="G460" s="50" t="str">
        <f t="shared" si="961"/>
        <v>GOVT</v>
      </c>
      <c r="H460" s="50" t="str">
        <f t="shared" si="961"/>
        <v>IPDS</v>
      </c>
      <c r="I460" s="50">
        <f t="shared" si="961"/>
        <v>3</v>
      </c>
      <c r="J460" s="50" t="str">
        <f t="shared" si="961"/>
        <v>LT 2</v>
      </c>
      <c r="K460" s="84">
        <f>'HKL1720'!Q33</f>
        <v>6604.2</v>
      </c>
      <c r="L460" s="84">
        <f>'HKL1720'!P33</f>
        <v>6907.7</v>
      </c>
      <c r="M460" s="84">
        <f t="shared" si="946"/>
        <v>1</v>
      </c>
      <c r="N460" s="84">
        <f t="shared" si="957"/>
        <v>303.5</v>
      </c>
      <c r="O460" s="84">
        <f>'HKL1720'!F33</f>
        <v>97.499999999999986</v>
      </c>
      <c r="P460" s="84">
        <f>'HKL1720'!E33</f>
        <v>98.7</v>
      </c>
      <c r="Q460" s="84">
        <f t="shared" si="919"/>
        <v>1</v>
      </c>
      <c r="R460" s="84">
        <f t="shared" si="958"/>
        <v>1.2000000000000171</v>
      </c>
      <c r="S460" s="84">
        <f>'HKL1720'!K33</f>
        <v>6506.1</v>
      </c>
      <c r="T460" s="84">
        <f>'HKL1720'!J33</f>
        <v>6809.1</v>
      </c>
      <c r="U460" s="84">
        <f t="shared" si="947"/>
        <v>1</v>
      </c>
      <c r="V460" s="84">
        <f t="shared" si="959"/>
        <v>303</v>
      </c>
      <c r="W460" s="84"/>
      <c r="X460" s="84"/>
      <c r="Y460" s="85">
        <f t="shared" si="960"/>
        <v>3.3722222222222222</v>
      </c>
      <c r="Z460" s="84"/>
      <c r="AA460" s="82"/>
    </row>
    <row r="461" spans="1:27" s="40" customFormat="1" ht="39.950000000000003" hidden="1" customHeight="1" x14ac:dyDescent="0.25">
      <c r="A461" s="49">
        <v>26</v>
      </c>
      <c r="B461" s="50" t="str">
        <f t="shared" ref="B461:J461" si="962">B460</f>
        <v>H D Kote</v>
      </c>
      <c r="C461" s="50" t="str">
        <f t="shared" si="962"/>
        <v>HDKOTE/1714</v>
      </c>
      <c r="D461" s="50" t="str">
        <f t="shared" si="962"/>
        <v>GOVT URDU PRIMARY SCHOOL</v>
      </c>
      <c r="E461" s="50" t="str">
        <f t="shared" si="962"/>
        <v>HKL1720</v>
      </c>
      <c r="F461" s="50">
        <f t="shared" si="962"/>
        <v>0.12</v>
      </c>
      <c r="G461" s="50" t="str">
        <f t="shared" si="962"/>
        <v>GOVT</v>
      </c>
      <c r="H461" s="50" t="str">
        <f t="shared" si="962"/>
        <v>IPDS</v>
      </c>
      <c r="I461" s="50">
        <f t="shared" si="962"/>
        <v>3</v>
      </c>
      <c r="J461" s="50" t="str">
        <f t="shared" si="962"/>
        <v>LT 2</v>
      </c>
      <c r="K461" s="84">
        <f>'HKL1720'!Q34</f>
        <v>6907.7</v>
      </c>
      <c r="L461" s="84">
        <f>'HKL1720'!P34</f>
        <v>7161.1</v>
      </c>
      <c r="M461" s="84">
        <f t="shared" si="946"/>
        <v>1</v>
      </c>
      <c r="N461" s="84">
        <f t="shared" si="957"/>
        <v>253.40000000000055</v>
      </c>
      <c r="O461" s="84">
        <f>'HKL1720'!F34</f>
        <v>98.7</v>
      </c>
      <c r="P461" s="84">
        <f>'HKL1720'!E34</f>
        <v>101.9</v>
      </c>
      <c r="Q461" s="84">
        <f t="shared" si="919"/>
        <v>1</v>
      </c>
      <c r="R461" s="84">
        <f t="shared" si="958"/>
        <v>3.2000000000000028</v>
      </c>
      <c r="S461" s="84">
        <f>'HKL1720'!K34</f>
        <v>6809.1</v>
      </c>
      <c r="T461" s="84">
        <f>'HKL1720'!J34</f>
        <v>7060.2</v>
      </c>
      <c r="U461" s="84">
        <f t="shared" si="947"/>
        <v>1</v>
      </c>
      <c r="V461" s="84">
        <f t="shared" si="959"/>
        <v>251.09999999999945</v>
      </c>
      <c r="W461" s="84"/>
      <c r="X461" s="84"/>
      <c r="Y461" s="85">
        <f t="shared" si="960"/>
        <v>2.8155555555555618</v>
      </c>
      <c r="Z461" s="84"/>
      <c r="AA461" s="82"/>
    </row>
    <row r="462" spans="1:27" s="40" customFormat="1" ht="39.950000000000003" hidden="1" customHeight="1" x14ac:dyDescent="0.25">
      <c r="A462" s="49">
        <v>27</v>
      </c>
      <c r="B462" s="50" t="str">
        <f t="shared" ref="B462:J462" si="963">B461</f>
        <v>H D Kote</v>
      </c>
      <c r="C462" s="50" t="str">
        <f t="shared" si="963"/>
        <v>HDKOTE/1714</v>
      </c>
      <c r="D462" s="50" t="str">
        <f t="shared" si="963"/>
        <v>GOVT URDU PRIMARY SCHOOL</v>
      </c>
      <c r="E462" s="50" t="str">
        <f t="shared" si="963"/>
        <v>HKL1720</v>
      </c>
      <c r="F462" s="50">
        <f t="shared" si="963"/>
        <v>0.12</v>
      </c>
      <c r="G462" s="50" t="str">
        <f t="shared" si="963"/>
        <v>GOVT</v>
      </c>
      <c r="H462" s="50" t="str">
        <f t="shared" si="963"/>
        <v>IPDS</v>
      </c>
      <c r="I462" s="50">
        <f t="shared" si="963"/>
        <v>3</v>
      </c>
      <c r="J462" s="50" t="str">
        <f t="shared" si="963"/>
        <v>LT 2</v>
      </c>
      <c r="K462" s="84">
        <f>'HKL1720'!Q35</f>
        <v>7161.1</v>
      </c>
      <c r="L462" s="84">
        <f>'HKL1720'!P35</f>
        <v>7467.6</v>
      </c>
      <c r="M462" s="84">
        <f t="shared" si="946"/>
        <v>1</v>
      </c>
      <c r="N462" s="84">
        <f t="shared" si="957"/>
        <v>306.5</v>
      </c>
      <c r="O462" s="84">
        <f>'HKL1720'!F35</f>
        <v>101.9</v>
      </c>
      <c r="P462" s="84">
        <f>'HKL1720'!E35</f>
        <v>104.2</v>
      </c>
      <c r="Q462" s="84">
        <f t="shared" si="919"/>
        <v>1</v>
      </c>
      <c r="R462" s="84">
        <f t="shared" si="958"/>
        <v>2.2999999999999972</v>
      </c>
      <c r="S462" s="84">
        <f>'HKL1720'!K35</f>
        <v>7060.2</v>
      </c>
      <c r="T462" s="84">
        <f>'HKL1720'!J35</f>
        <v>7325.7</v>
      </c>
      <c r="U462" s="84">
        <f t="shared" si="947"/>
        <v>1</v>
      </c>
      <c r="V462" s="84">
        <f t="shared" si="959"/>
        <v>265.5</v>
      </c>
      <c r="W462" s="84"/>
      <c r="X462" s="84"/>
      <c r="Y462" s="85">
        <f t="shared" si="960"/>
        <v>3.4055555555555554</v>
      </c>
      <c r="Z462" s="84"/>
      <c r="AA462" s="82"/>
    </row>
    <row r="463" spans="1:27" s="40" customFormat="1" ht="39.950000000000003" hidden="1" customHeight="1" x14ac:dyDescent="0.25">
      <c r="A463" s="49">
        <v>28</v>
      </c>
      <c r="B463" s="50" t="str">
        <f t="shared" ref="B463:J465" si="964">B462</f>
        <v>H D Kote</v>
      </c>
      <c r="C463" s="50" t="str">
        <f t="shared" si="964"/>
        <v>HDKOTE/1714</v>
      </c>
      <c r="D463" s="50" t="str">
        <f t="shared" si="964"/>
        <v>GOVT URDU PRIMARY SCHOOL</v>
      </c>
      <c r="E463" s="50" t="str">
        <f t="shared" si="964"/>
        <v>HKL1720</v>
      </c>
      <c r="F463" s="50">
        <f t="shared" si="964"/>
        <v>0.12</v>
      </c>
      <c r="G463" s="50" t="str">
        <f t="shared" si="964"/>
        <v>GOVT</v>
      </c>
      <c r="H463" s="50" t="str">
        <f t="shared" si="964"/>
        <v>IPDS</v>
      </c>
      <c r="I463" s="50">
        <f t="shared" si="964"/>
        <v>3</v>
      </c>
      <c r="J463" s="50" t="str">
        <f t="shared" si="964"/>
        <v>LT 2</v>
      </c>
      <c r="K463" s="84">
        <f>'HKL1720'!Q36</f>
        <v>7467.6</v>
      </c>
      <c r="L463" s="84">
        <f>'HKL1720'!P36</f>
        <v>7730.1</v>
      </c>
      <c r="M463" s="84">
        <f t="shared" si="946"/>
        <v>1</v>
      </c>
      <c r="N463" s="84">
        <f t="shared" ref="N463:N466" si="965">(L463-K463)*M463</f>
        <v>262.5</v>
      </c>
      <c r="O463" s="84">
        <f>'HKL1720'!F36</f>
        <v>104.2</v>
      </c>
      <c r="P463" s="84">
        <f>'HKL1720'!E36</f>
        <v>105.1</v>
      </c>
      <c r="Q463" s="84">
        <f t="shared" si="919"/>
        <v>1</v>
      </c>
      <c r="R463" s="84">
        <f t="shared" ref="R463:R466" si="966">(P463-O463)*Q463</f>
        <v>0.89999999999999147</v>
      </c>
      <c r="S463" s="84">
        <f>'HKL1720'!K36</f>
        <v>7325.7</v>
      </c>
      <c r="T463" s="84">
        <f>'HKL1720'!J36</f>
        <v>7637.7</v>
      </c>
      <c r="U463" s="84">
        <f t="shared" si="947"/>
        <v>1</v>
      </c>
      <c r="V463" s="84">
        <f t="shared" ref="V463:V466" si="967">(T463-S463)*U463</f>
        <v>312</v>
      </c>
      <c r="W463" s="84">
        <f>'HKL1720'!U36</f>
        <v>0.17</v>
      </c>
      <c r="X463" s="84">
        <f>'HKL1720'!V36</f>
        <v>0.98</v>
      </c>
      <c r="Y463" s="85">
        <f t="shared" ref="Y463:Y466" si="968">N463/30/I463</f>
        <v>2.9166666666666665</v>
      </c>
      <c r="Z463" s="84"/>
      <c r="AA463" s="82"/>
    </row>
    <row r="464" spans="1:27" s="40" customFormat="1" ht="39.950000000000003" hidden="1" customHeight="1" x14ac:dyDescent="0.25">
      <c r="A464" s="49">
        <v>29</v>
      </c>
      <c r="B464" s="50" t="str">
        <f t="shared" ref="B464:J464" si="969">B463</f>
        <v>H D Kote</v>
      </c>
      <c r="C464" s="50" t="str">
        <f t="shared" si="969"/>
        <v>HDKOTE/1714</v>
      </c>
      <c r="D464" s="50" t="str">
        <f t="shared" si="969"/>
        <v>GOVT URDU PRIMARY SCHOOL</v>
      </c>
      <c r="E464" s="50" t="str">
        <f t="shared" si="969"/>
        <v>HKL1720</v>
      </c>
      <c r="F464" s="50">
        <f t="shared" si="969"/>
        <v>0.12</v>
      </c>
      <c r="G464" s="50" t="str">
        <f t="shared" si="969"/>
        <v>GOVT</v>
      </c>
      <c r="H464" s="50" t="str">
        <f t="shared" si="969"/>
        <v>IPDS</v>
      </c>
      <c r="I464" s="50">
        <f t="shared" si="969"/>
        <v>3</v>
      </c>
      <c r="J464" s="50" t="str">
        <f t="shared" si="969"/>
        <v>LT 2</v>
      </c>
      <c r="K464" s="84">
        <f>'HKL1720'!Q37</f>
        <v>7730.1</v>
      </c>
      <c r="L464" s="84">
        <f>'HKL1720'!P37</f>
        <v>8053.6</v>
      </c>
      <c r="M464" s="84">
        <f t="shared" si="946"/>
        <v>1</v>
      </c>
      <c r="N464" s="84">
        <f t="shared" si="965"/>
        <v>323.5</v>
      </c>
      <c r="O464" s="84">
        <f>'HKL1720'!F37</f>
        <v>105.1</v>
      </c>
      <c r="P464" s="84">
        <f>'HKL1720'!E37</f>
        <v>110.1</v>
      </c>
      <c r="Q464" s="84">
        <f t="shared" si="919"/>
        <v>1</v>
      </c>
      <c r="R464" s="84">
        <f t="shared" si="966"/>
        <v>5</v>
      </c>
      <c r="S464" s="84">
        <f>'HKL1720'!K37</f>
        <v>7637.7</v>
      </c>
      <c r="T464" s="84">
        <f>'HKL1720'!J37</f>
        <v>7939</v>
      </c>
      <c r="U464" s="84">
        <f t="shared" si="947"/>
        <v>1</v>
      </c>
      <c r="V464" s="84">
        <f t="shared" si="967"/>
        <v>301.30000000000018</v>
      </c>
      <c r="W464" s="84">
        <f>'HKL1720'!U37</f>
        <v>0.15</v>
      </c>
      <c r="X464" s="84">
        <f>'HKL1720'!V37</f>
        <v>0.88</v>
      </c>
      <c r="Y464" s="85">
        <f t="shared" si="968"/>
        <v>3.5944444444444446</v>
      </c>
      <c r="Z464" s="84"/>
      <c r="AA464" s="82"/>
    </row>
    <row r="465" spans="1:27" s="40" customFormat="1" ht="39.950000000000003" customHeight="1" x14ac:dyDescent="0.25">
      <c r="A465" s="49">
        <v>30</v>
      </c>
      <c r="B465" s="50" t="str">
        <f t="shared" si="964"/>
        <v>H D Kote</v>
      </c>
      <c r="C465" s="50" t="str">
        <f t="shared" si="964"/>
        <v>HDKOTE/1714</v>
      </c>
      <c r="D465" s="50" t="str">
        <f t="shared" si="964"/>
        <v>GOVT URDU PRIMARY SCHOOL</v>
      </c>
      <c r="E465" s="50" t="str">
        <f t="shared" si="964"/>
        <v>HKL1720</v>
      </c>
      <c r="F465" s="50">
        <f t="shared" si="964"/>
        <v>0.12</v>
      </c>
      <c r="G465" s="50" t="str">
        <f t="shared" si="964"/>
        <v>GOVT</v>
      </c>
      <c r="H465" s="50" t="str">
        <f t="shared" si="964"/>
        <v>IPDS</v>
      </c>
      <c r="I465" s="50">
        <f t="shared" si="964"/>
        <v>3</v>
      </c>
      <c r="J465" s="50" t="str">
        <f t="shared" si="964"/>
        <v>LT 2</v>
      </c>
      <c r="K465" s="84">
        <f>'HKL1720'!Q38</f>
        <v>8053.6</v>
      </c>
      <c r="L465" s="84">
        <f>'HKL1720'!P38</f>
        <v>8165.3</v>
      </c>
      <c r="M465" s="84">
        <f t="shared" si="946"/>
        <v>1</v>
      </c>
      <c r="N465" s="84">
        <f t="shared" ref="N465" si="970">(L465-K465)*M465</f>
        <v>111.69999999999982</v>
      </c>
      <c r="O465" s="84">
        <f>'HKL1720'!F38</f>
        <v>110.1</v>
      </c>
      <c r="P465" s="84">
        <f>'HKL1720'!E38</f>
        <v>110.1</v>
      </c>
      <c r="Q465" s="84">
        <f t="shared" si="919"/>
        <v>1</v>
      </c>
      <c r="R465" s="84">
        <f t="shared" ref="R465" si="971">(P465-O465)*Q465</f>
        <v>0</v>
      </c>
      <c r="S465" s="84">
        <f>'HKL1720'!K38</f>
        <v>7939</v>
      </c>
      <c r="T465" s="84">
        <f>'HKL1720'!J38</f>
        <v>7939</v>
      </c>
      <c r="U465" s="84">
        <f t="shared" si="947"/>
        <v>1</v>
      </c>
      <c r="V465" s="84">
        <f t="shared" ref="V465" si="972">(T465-S465)*U465</f>
        <v>0</v>
      </c>
      <c r="W465" s="84">
        <f>'HKL1720'!U38</f>
        <v>0</v>
      </c>
      <c r="X465" s="84">
        <f>'HKL1720'!V38</f>
        <v>0.98</v>
      </c>
      <c r="Y465" s="85">
        <f t="shared" si="968"/>
        <v>1.2411111111111091</v>
      </c>
      <c r="Z465" s="84"/>
      <c r="AA465" s="82"/>
    </row>
    <row r="466" spans="1:27" s="40" customFormat="1" ht="39.950000000000003" hidden="1" customHeight="1" x14ac:dyDescent="0.25">
      <c r="A466" s="49">
        <v>31</v>
      </c>
      <c r="B466" s="50" t="str">
        <f t="shared" ref="B466:J466" si="973">B465</f>
        <v>H D Kote</v>
      </c>
      <c r="C466" s="50" t="str">
        <f t="shared" si="973"/>
        <v>HDKOTE/1714</v>
      </c>
      <c r="D466" s="50" t="str">
        <f t="shared" si="973"/>
        <v>GOVT URDU PRIMARY SCHOOL</v>
      </c>
      <c r="E466" s="50" t="str">
        <f t="shared" si="973"/>
        <v>HKL1720</v>
      </c>
      <c r="F466" s="50">
        <f t="shared" si="973"/>
        <v>0.12</v>
      </c>
      <c r="G466" s="50" t="str">
        <f t="shared" si="973"/>
        <v>GOVT</v>
      </c>
      <c r="H466" s="50" t="str">
        <f t="shared" si="973"/>
        <v>IPDS</v>
      </c>
      <c r="I466" s="50">
        <f t="shared" si="973"/>
        <v>3</v>
      </c>
      <c r="J466" s="50" t="str">
        <f t="shared" si="973"/>
        <v>LT 2</v>
      </c>
      <c r="K466" s="84">
        <f>'HKL1720'!Q39</f>
        <v>8165.3</v>
      </c>
      <c r="L466" s="84">
        <f>'HKL1720'!P39</f>
        <v>8165.3</v>
      </c>
      <c r="M466" s="84">
        <f t="shared" si="946"/>
        <v>1</v>
      </c>
      <c r="N466" s="84">
        <f t="shared" si="965"/>
        <v>0</v>
      </c>
      <c r="O466" s="84">
        <f>'HKL1720'!F39</f>
        <v>110.1</v>
      </c>
      <c r="P466" s="84">
        <f>'HKL1720'!E39</f>
        <v>110.1</v>
      </c>
      <c r="Q466" s="84">
        <f t="shared" si="919"/>
        <v>1</v>
      </c>
      <c r="R466" s="84">
        <f t="shared" si="966"/>
        <v>0</v>
      </c>
      <c r="S466" s="84">
        <f>'HKL1720'!K39</f>
        <v>7939</v>
      </c>
      <c r="T466" s="84">
        <f>'HKL1720'!J39</f>
        <v>7939</v>
      </c>
      <c r="U466" s="84">
        <f t="shared" si="947"/>
        <v>1</v>
      </c>
      <c r="V466" s="84">
        <f t="shared" si="967"/>
        <v>0</v>
      </c>
      <c r="W466" s="84"/>
      <c r="X466" s="84"/>
      <c r="Y466" s="85">
        <f t="shared" si="968"/>
        <v>0</v>
      </c>
      <c r="Z466" s="84"/>
      <c r="AA466" s="82"/>
    </row>
    <row r="467" spans="1:27" s="40" customFormat="1" ht="39.950000000000003" hidden="1" customHeight="1" x14ac:dyDescent="0.25">
      <c r="A467" s="49"/>
      <c r="B467" s="50"/>
      <c r="C467" s="50"/>
      <c r="D467" s="50"/>
      <c r="E467" s="50"/>
      <c r="F467" s="50"/>
      <c r="G467" s="50"/>
      <c r="H467" s="50"/>
      <c r="I467" s="50"/>
      <c r="J467" s="50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5"/>
      <c r="Z467" s="84"/>
      <c r="AA467" s="82"/>
    </row>
    <row r="468" spans="1:27" s="40" customFormat="1" ht="39.950000000000003" hidden="1" customHeight="1" x14ac:dyDescent="0.25">
      <c r="A468" s="49"/>
      <c r="B468" s="50"/>
      <c r="C468" s="50"/>
      <c r="D468" s="50"/>
      <c r="E468" s="50"/>
      <c r="F468" s="50"/>
      <c r="G468" s="50"/>
      <c r="H468" s="50"/>
      <c r="I468" s="50"/>
      <c r="J468" s="50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5"/>
      <c r="Z468" s="84"/>
      <c r="AA468" s="82"/>
    </row>
    <row r="469" spans="1:27" s="40" customFormat="1" ht="39.950000000000003" hidden="1" customHeight="1" x14ac:dyDescent="0.25">
      <c r="A469" s="49">
        <v>1</v>
      </c>
      <c r="B469" s="50" t="s">
        <v>43</v>
      </c>
      <c r="C469" s="56" t="s">
        <v>229</v>
      </c>
      <c r="D469" s="59" t="s">
        <v>193</v>
      </c>
      <c r="E469" s="55" t="s">
        <v>192</v>
      </c>
      <c r="F469" s="50">
        <v>0.24</v>
      </c>
      <c r="G469" s="49" t="s">
        <v>221</v>
      </c>
      <c r="H469" s="64" t="s">
        <v>222</v>
      </c>
      <c r="I469" s="49">
        <v>1</v>
      </c>
      <c r="J469" s="49" t="s">
        <v>223</v>
      </c>
      <c r="K469" s="84">
        <f>HDTL31052!Q8</f>
        <v>416.3</v>
      </c>
      <c r="L469" s="84">
        <f>HDTL31052!P8</f>
        <v>448</v>
      </c>
      <c r="M469" s="84">
        <f>'[1]April-18'!M20</f>
        <v>1</v>
      </c>
      <c r="N469" s="84">
        <f t="shared" si="0"/>
        <v>31.699999999999989</v>
      </c>
      <c r="O469" s="84">
        <f>HDTL31052!F8</f>
        <v>3.3</v>
      </c>
      <c r="P469" s="84">
        <f>HDTL31052!E8</f>
        <v>6.9</v>
      </c>
      <c r="Q469" s="84">
        <v>1</v>
      </c>
      <c r="R469" s="84">
        <f t="shared" si="683"/>
        <v>3.6000000000000005</v>
      </c>
      <c r="S469" s="84">
        <f>HDTL31052!K8</f>
        <v>24.6</v>
      </c>
      <c r="T469" s="84">
        <f>HDTL31052!J8</f>
        <v>56</v>
      </c>
      <c r="U469" s="84">
        <f>'[1]April-18'!U20</f>
        <v>1</v>
      </c>
      <c r="V469" s="84">
        <f t="shared" si="684"/>
        <v>31.4</v>
      </c>
      <c r="W469" s="84"/>
      <c r="X469" s="84"/>
      <c r="Y469" s="85">
        <f t="shared" si="917"/>
        <v>1.0566666666666662</v>
      </c>
      <c r="Z469" s="84"/>
      <c r="AA469" s="82" t="str">
        <f>HDTL31052!B8</f>
        <v>01.08.2019</v>
      </c>
    </row>
    <row r="470" spans="1:27" s="40" customFormat="1" ht="39.950000000000003" hidden="1" customHeight="1" x14ac:dyDescent="0.25">
      <c r="A470" s="49">
        <v>2</v>
      </c>
      <c r="B470" s="50" t="str">
        <f>B469</f>
        <v>H D Kote</v>
      </c>
      <c r="C470" s="50" t="str">
        <f t="shared" ref="C470:J471" si="974">C469</f>
        <v>HDKOTE/1714</v>
      </c>
      <c r="D470" s="50" t="str">
        <f t="shared" si="974"/>
        <v>HEAD MASTER G.L.P.S</v>
      </c>
      <c r="E470" s="50" t="str">
        <f t="shared" si="974"/>
        <v>HDTL31052</v>
      </c>
      <c r="F470" s="50">
        <f t="shared" si="974"/>
        <v>0.24</v>
      </c>
      <c r="G470" s="50" t="str">
        <f t="shared" si="974"/>
        <v>GOVT</v>
      </c>
      <c r="H470" s="50" t="str">
        <f t="shared" si="974"/>
        <v>IPDS</v>
      </c>
      <c r="I470" s="50">
        <f t="shared" si="974"/>
        <v>1</v>
      </c>
      <c r="J470" s="50" t="str">
        <f t="shared" si="974"/>
        <v>LT 2</v>
      </c>
      <c r="K470" s="84">
        <f>HDTL31052!Q9</f>
        <v>448</v>
      </c>
      <c r="L470" s="84">
        <f>HDTL31052!P9</f>
        <v>480</v>
      </c>
      <c r="M470" s="84">
        <f>'[1]April-18'!M21</f>
        <v>1</v>
      </c>
      <c r="N470" s="84">
        <f t="shared" si="0"/>
        <v>32</v>
      </c>
      <c r="O470" s="84">
        <f>HDTL31052!F9</f>
        <v>6.9</v>
      </c>
      <c r="P470" s="84">
        <f>HDTL31052!E9</f>
        <v>11.7</v>
      </c>
      <c r="Q470" s="84">
        <f>Q469</f>
        <v>1</v>
      </c>
      <c r="R470" s="84">
        <f t="shared" si="683"/>
        <v>4.7999999999999989</v>
      </c>
      <c r="S470" s="84">
        <f>HDTL31052!K9</f>
        <v>56</v>
      </c>
      <c r="T470" s="84">
        <f>HDTL31052!J9</f>
        <v>85.5</v>
      </c>
      <c r="U470" s="84">
        <f>'[1]April-18'!U21</f>
        <v>1</v>
      </c>
      <c r="V470" s="84">
        <f t="shared" si="684"/>
        <v>29.5</v>
      </c>
      <c r="W470" s="84"/>
      <c r="X470" s="84"/>
      <c r="Y470" s="85">
        <f t="shared" si="917"/>
        <v>1.0666666666666667</v>
      </c>
      <c r="Z470" s="84"/>
      <c r="AA470" s="82" t="str">
        <f>HDTL31052!B9</f>
        <v>01.09.2019</v>
      </c>
    </row>
    <row r="471" spans="1:27" s="40" customFormat="1" ht="39.950000000000003" hidden="1" customHeight="1" x14ac:dyDescent="0.25">
      <c r="A471" s="49">
        <v>3</v>
      </c>
      <c r="B471" s="50" t="str">
        <f>B470</f>
        <v>H D Kote</v>
      </c>
      <c r="C471" s="50" t="str">
        <f t="shared" si="974"/>
        <v>HDKOTE/1714</v>
      </c>
      <c r="D471" s="50" t="str">
        <f t="shared" si="974"/>
        <v>HEAD MASTER G.L.P.S</v>
      </c>
      <c r="E471" s="50" t="str">
        <f t="shared" si="974"/>
        <v>HDTL31052</v>
      </c>
      <c r="F471" s="50">
        <f t="shared" si="974"/>
        <v>0.24</v>
      </c>
      <c r="G471" s="50" t="str">
        <f t="shared" si="974"/>
        <v>GOVT</v>
      </c>
      <c r="H471" s="50" t="str">
        <f t="shared" si="974"/>
        <v>IPDS</v>
      </c>
      <c r="I471" s="50">
        <f t="shared" si="974"/>
        <v>1</v>
      </c>
      <c r="J471" s="50" t="str">
        <f t="shared" si="974"/>
        <v>LT 2</v>
      </c>
      <c r="K471" s="84">
        <f>HDTL31052!Q10</f>
        <v>480</v>
      </c>
      <c r="L471" s="84">
        <f>HDTL31052!P10</f>
        <v>514</v>
      </c>
      <c r="M471" s="84">
        <f>M470</f>
        <v>1</v>
      </c>
      <c r="N471" s="84">
        <f t="shared" si="0"/>
        <v>34</v>
      </c>
      <c r="O471" s="84">
        <f>HDTL31052!F10</f>
        <v>11.7</v>
      </c>
      <c r="P471" s="84">
        <f>HDTL31052!E10</f>
        <v>13.7</v>
      </c>
      <c r="Q471" s="84">
        <f>Q470</f>
        <v>1</v>
      </c>
      <c r="R471" s="84">
        <f t="shared" si="683"/>
        <v>2</v>
      </c>
      <c r="S471" s="84">
        <f>HDTL31052!K10</f>
        <v>85.5</v>
      </c>
      <c r="T471" s="84">
        <f>HDTL31052!J10</f>
        <v>116.5</v>
      </c>
      <c r="U471" s="84">
        <f>U470</f>
        <v>1</v>
      </c>
      <c r="V471" s="84">
        <f t="shared" si="684"/>
        <v>31</v>
      </c>
      <c r="W471" s="84"/>
      <c r="X471" s="84"/>
      <c r="Y471" s="85">
        <f t="shared" si="917"/>
        <v>1.1333333333333333</v>
      </c>
      <c r="Z471" s="84"/>
      <c r="AA471" s="82" t="str">
        <f>HDTL31052!B10</f>
        <v>01.10.2019</v>
      </c>
    </row>
    <row r="472" spans="1:27" s="40" customFormat="1" ht="39.950000000000003" hidden="1" customHeight="1" x14ac:dyDescent="0.25">
      <c r="A472" s="49">
        <v>4</v>
      </c>
      <c r="B472" s="50" t="str">
        <f t="shared" ref="B472:J475" si="975">B471</f>
        <v>H D Kote</v>
      </c>
      <c r="C472" s="50" t="str">
        <f t="shared" si="975"/>
        <v>HDKOTE/1714</v>
      </c>
      <c r="D472" s="50" t="str">
        <f t="shared" si="975"/>
        <v>HEAD MASTER G.L.P.S</v>
      </c>
      <c r="E472" s="50" t="str">
        <f t="shared" si="975"/>
        <v>HDTL31052</v>
      </c>
      <c r="F472" s="50">
        <f t="shared" si="975"/>
        <v>0.24</v>
      </c>
      <c r="G472" s="50" t="str">
        <f t="shared" si="975"/>
        <v>GOVT</v>
      </c>
      <c r="H472" s="50" t="str">
        <f t="shared" si="975"/>
        <v>IPDS</v>
      </c>
      <c r="I472" s="50">
        <f t="shared" si="975"/>
        <v>1</v>
      </c>
      <c r="J472" s="50" t="str">
        <f t="shared" si="975"/>
        <v>LT 2</v>
      </c>
      <c r="K472" s="84">
        <f>HDTL31052!Q11</f>
        <v>514</v>
      </c>
      <c r="L472" s="84">
        <f>HDTL31052!P11</f>
        <v>547</v>
      </c>
      <c r="M472" s="84">
        <f t="shared" ref="M472:M498" si="976">M471</f>
        <v>1</v>
      </c>
      <c r="N472" s="84">
        <f t="shared" si="0"/>
        <v>33</v>
      </c>
      <c r="O472" s="84">
        <f>HDTL31052!F11</f>
        <v>13.7</v>
      </c>
      <c r="P472" s="84">
        <f>HDTL31052!E11</f>
        <v>15</v>
      </c>
      <c r="Q472" s="84">
        <f t="shared" ref="Q472:Q498" si="977">Q471</f>
        <v>1</v>
      </c>
      <c r="R472" s="84">
        <f t="shared" si="683"/>
        <v>1.3000000000000007</v>
      </c>
      <c r="S472" s="84">
        <f>HDTL31052!K11</f>
        <v>116.5</v>
      </c>
      <c r="T472" s="84">
        <f>HDTL31052!J11</f>
        <v>146.5</v>
      </c>
      <c r="U472" s="84">
        <f t="shared" ref="U472:U498" si="978">U471</f>
        <v>1</v>
      </c>
      <c r="V472" s="84">
        <f t="shared" si="684"/>
        <v>30</v>
      </c>
      <c r="W472" s="84"/>
      <c r="X472" s="84"/>
      <c r="Y472" s="85">
        <f t="shared" si="917"/>
        <v>1.1000000000000001</v>
      </c>
      <c r="Z472" s="84"/>
      <c r="AA472" s="82" t="str">
        <f>HDTL31052!B11</f>
        <v>01.11.2019</v>
      </c>
    </row>
    <row r="473" spans="1:27" s="40" customFormat="1" ht="39.950000000000003" hidden="1" customHeight="1" x14ac:dyDescent="0.25">
      <c r="A473" s="49">
        <v>5</v>
      </c>
      <c r="B473" s="50" t="str">
        <f t="shared" si="975"/>
        <v>H D Kote</v>
      </c>
      <c r="C473" s="50" t="str">
        <f t="shared" si="975"/>
        <v>HDKOTE/1714</v>
      </c>
      <c r="D473" s="50" t="str">
        <f t="shared" si="975"/>
        <v>HEAD MASTER G.L.P.S</v>
      </c>
      <c r="E473" s="50" t="str">
        <f t="shared" si="975"/>
        <v>HDTL31052</v>
      </c>
      <c r="F473" s="50">
        <f t="shared" si="975"/>
        <v>0.24</v>
      </c>
      <c r="G473" s="50" t="str">
        <f t="shared" si="975"/>
        <v>GOVT</v>
      </c>
      <c r="H473" s="50" t="str">
        <f t="shared" si="975"/>
        <v>IPDS</v>
      </c>
      <c r="I473" s="50">
        <f t="shared" si="975"/>
        <v>1</v>
      </c>
      <c r="J473" s="50" t="str">
        <f t="shared" si="975"/>
        <v>LT 2</v>
      </c>
      <c r="K473" s="84">
        <f>HDTL31052!Q12</f>
        <v>547</v>
      </c>
      <c r="L473" s="84">
        <f>HDTL31052!P12</f>
        <v>605</v>
      </c>
      <c r="M473" s="84">
        <f t="shared" si="976"/>
        <v>1</v>
      </c>
      <c r="N473" s="84">
        <f t="shared" si="0"/>
        <v>58</v>
      </c>
      <c r="O473" s="84">
        <f>HDTL31052!F12</f>
        <v>15</v>
      </c>
      <c r="P473" s="84">
        <f>HDTL31052!E12</f>
        <v>25.6</v>
      </c>
      <c r="Q473" s="84">
        <f t="shared" si="977"/>
        <v>1</v>
      </c>
      <c r="R473" s="84">
        <f t="shared" si="683"/>
        <v>10.600000000000001</v>
      </c>
      <c r="S473" s="84">
        <f>HDTL31052!K12</f>
        <v>146.5</v>
      </c>
      <c r="T473" s="84">
        <f>HDTL31052!J12</f>
        <v>188.5</v>
      </c>
      <c r="U473" s="84">
        <f t="shared" si="978"/>
        <v>1</v>
      </c>
      <c r="V473" s="84">
        <f t="shared" si="684"/>
        <v>42</v>
      </c>
      <c r="W473" s="84"/>
      <c r="X473" s="84"/>
      <c r="Y473" s="85">
        <f t="shared" si="917"/>
        <v>1.9333333333333333</v>
      </c>
      <c r="Z473" s="84"/>
      <c r="AA473" s="82" t="str">
        <f>HDTL31052!B12</f>
        <v>01.12.2019</v>
      </c>
    </row>
    <row r="474" spans="1:27" s="40" customFormat="1" ht="39.950000000000003" hidden="1" customHeight="1" x14ac:dyDescent="0.25">
      <c r="A474" s="49">
        <v>6</v>
      </c>
      <c r="B474" s="50" t="str">
        <f t="shared" si="975"/>
        <v>H D Kote</v>
      </c>
      <c r="C474" s="50" t="str">
        <f t="shared" si="975"/>
        <v>HDKOTE/1714</v>
      </c>
      <c r="D474" s="50" t="str">
        <f t="shared" si="975"/>
        <v>HEAD MASTER G.L.P.S</v>
      </c>
      <c r="E474" s="50" t="str">
        <f t="shared" si="975"/>
        <v>HDTL31052</v>
      </c>
      <c r="F474" s="50">
        <f t="shared" si="975"/>
        <v>0.24</v>
      </c>
      <c r="G474" s="50" t="str">
        <f t="shared" si="975"/>
        <v>GOVT</v>
      </c>
      <c r="H474" s="50" t="str">
        <f t="shared" si="975"/>
        <v>IPDS</v>
      </c>
      <c r="I474" s="50">
        <f t="shared" si="975"/>
        <v>1</v>
      </c>
      <c r="J474" s="50" t="str">
        <f t="shared" si="975"/>
        <v>LT 2</v>
      </c>
      <c r="K474" s="84">
        <f>HDTL31052!Q13</f>
        <v>605</v>
      </c>
      <c r="L474" s="84">
        <f>HDTL31052!P13</f>
        <v>700</v>
      </c>
      <c r="M474" s="84">
        <f t="shared" si="976"/>
        <v>1</v>
      </c>
      <c r="N474" s="84">
        <f t="shared" si="0"/>
        <v>95</v>
      </c>
      <c r="O474" s="84">
        <f>HDTL31052!F13</f>
        <v>25.6</v>
      </c>
      <c r="P474" s="84">
        <f>HDTL31052!E13</f>
        <v>30.8</v>
      </c>
      <c r="Q474" s="84">
        <f t="shared" si="977"/>
        <v>1</v>
      </c>
      <c r="R474" s="84">
        <f t="shared" si="683"/>
        <v>5.1999999999999993</v>
      </c>
      <c r="S474" s="84">
        <f>HDTL31052!K13</f>
        <v>188.5</v>
      </c>
      <c r="T474" s="84">
        <f>HDTL31052!J13</f>
        <v>276.5</v>
      </c>
      <c r="U474" s="84">
        <f t="shared" si="978"/>
        <v>1</v>
      </c>
      <c r="V474" s="84">
        <f t="shared" si="684"/>
        <v>88</v>
      </c>
      <c r="W474" s="84"/>
      <c r="X474" s="84"/>
      <c r="Y474" s="85">
        <f t="shared" si="917"/>
        <v>3.1666666666666665</v>
      </c>
      <c r="Z474" s="84"/>
      <c r="AA474" s="82" t="str">
        <f>HDTL31052!B13</f>
        <v>01.01.2020</v>
      </c>
    </row>
    <row r="475" spans="1:27" s="40" customFormat="1" ht="39.950000000000003" hidden="1" customHeight="1" x14ac:dyDescent="0.25">
      <c r="A475" s="49">
        <v>7</v>
      </c>
      <c r="B475" s="50" t="str">
        <f t="shared" si="975"/>
        <v>H D Kote</v>
      </c>
      <c r="C475" s="50" t="str">
        <f t="shared" si="975"/>
        <v>HDKOTE/1714</v>
      </c>
      <c r="D475" s="50" t="str">
        <f t="shared" si="975"/>
        <v>HEAD MASTER G.L.P.S</v>
      </c>
      <c r="E475" s="50" t="str">
        <f t="shared" si="975"/>
        <v>HDTL31052</v>
      </c>
      <c r="F475" s="50">
        <f t="shared" si="975"/>
        <v>0.24</v>
      </c>
      <c r="G475" s="50" t="str">
        <f t="shared" si="975"/>
        <v>GOVT</v>
      </c>
      <c r="H475" s="50" t="str">
        <f t="shared" si="975"/>
        <v>IPDS</v>
      </c>
      <c r="I475" s="50">
        <f t="shared" si="975"/>
        <v>1</v>
      </c>
      <c r="J475" s="50" t="str">
        <f t="shared" si="975"/>
        <v>LT 2</v>
      </c>
      <c r="K475" s="84">
        <f>HDTL31052!Q14</f>
        <v>700</v>
      </c>
      <c r="L475" s="84">
        <f>HDTL31052!P14</f>
        <v>740</v>
      </c>
      <c r="M475" s="84">
        <f t="shared" si="976"/>
        <v>1</v>
      </c>
      <c r="N475" s="84">
        <f t="shared" si="0"/>
        <v>40</v>
      </c>
      <c r="O475" s="84">
        <f>HDTL31052!F14</f>
        <v>30.8</v>
      </c>
      <c r="P475" s="84">
        <f>HDTL31052!E14</f>
        <v>36.799999999999997</v>
      </c>
      <c r="Q475" s="84">
        <f t="shared" si="977"/>
        <v>1</v>
      </c>
      <c r="R475" s="84">
        <f t="shared" si="683"/>
        <v>5.9999999999999964</v>
      </c>
      <c r="S475" s="84">
        <f>HDTL31052!K14</f>
        <v>276.5</v>
      </c>
      <c r="T475" s="84">
        <f>HDTL31052!J14</f>
        <v>314.5</v>
      </c>
      <c r="U475" s="84">
        <f t="shared" si="978"/>
        <v>1</v>
      </c>
      <c r="V475" s="84">
        <f t="shared" si="684"/>
        <v>38</v>
      </c>
      <c r="W475" s="84"/>
      <c r="X475" s="84"/>
      <c r="Y475" s="85">
        <f t="shared" si="917"/>
        <v>1.3333333333333333</v>
      </c>
      <c r="Z475" s="84"/>
      <c r="AA475" s="82" t="s">
        <v>253</v>
      </c>
    </row>
    <row r="476" spans="1:27" s="40" customFormat="1" ht="39.950000000000003" hidden="1" customHeight="1" x14ac:dyDescent="0.25">
      <c r="A476" s="49">
        <v>8</v>
      </c>
      <c r="B476" s="50" t="str">
        <f t="shared" ref="B476:J476" si="979">B475</f>
        <v>H D Kote</v>
      </c>
      <c r="C476" s="50" t="str">
        <f t="shared" si="979"/>
        <v>HDKOTE/1714</v>
      </c>
      <c r="D476" s="50" t="str">
        <f t="shared" si="979"/>
        <v>HEAD MASTER G.L.P.S</v>
      </c>
      <c r="E476" s="50" t="str">
        <f t="shared" si="979"/>
        <v>HDTL31052</v>
      </c>
      <c r="F476" s="50">
        <f t="shared" si="979"/>
        <v>0.24</v>
      </c>
      <c r="G476" s="50" t="str">
        <f t="shared" si="979"/>
        <v>GOVT</v>
      </c>
      <c r="H476" s="50" t="str">
        <f t="shared" si="979"/>
        <v>IPDS</v>
      </c>
      <c r="I476" s="50">
        <f t="shared" si="979"/>
        <v>1</v>
      </c>
      <c r="J476" s="50" t="str">
        <f t="shared" si="979"/>
        <v>LT 2</v>
      </c>
      <c r="K476" s="84">
        <f>HDTL31052!Q15</f>
        <v>740</v>
      </c>
      <c r="L476" s="84">
        <f>HDTL31052!P15</f>
        <v>782</v>
      </c>
      <c r="M476" s="84">
        <f t="shared" si="976"/>
        <v>1</v>
      </c>
      <c r="N476" s="84">
        <f t="shared" ref="N476:N481" si="980">(L476-K476)*M476</f>
        <v>42</v>
      </c>
      <c r="O476" s="84">
        <f>HDTL31052!F15</f>
        <v>36.799999999999997</v>
      </c>
      <c r="P476" s="84">
        <f>HDTL31052!E15</f>
        <v>85</v>
      </c>
      <c r="Q476" s="84">
        <f t="shared" si="977"/>
        <v>1</v>
      </c>
      <c r="R476" s="84">
        <f t="shared" ref="R476:R481" si="981">(P476-O476)*Q476</f>
        <v>48.2</v>
      </c>
      <c r="S476" s="84">
        <f>HDTL31052!K15</f>
        <v>314.5</v>
      </c>
      <c r="T476" s="84">
        <f>HDTL31052!J15</f>
        <v>345</v>
      </c>
      <c r="U476" s="84">
        <f t="shared" si="978"/>
        <v>1</v>
      </c>
      <c r="V476" s="84">
        <f t="shared" ref="V476:V481" si="982">(T476-S476)*U476</f>
        <v>30.5</v>
      </c>
      <c r="W476" s="84"/>
      <c r="X476" s="84"/>
      <c r="Y476" s="85">
        <f t="shared" ref="Y476:Y481" si="983">N476/30/I476</f>
        <v>1.4</v>
      </c>
      <c r="Z476" s="84"/>
      <c r="AA476" s="82" t="s">
        <v>254</v>
      </c>
    </row>
    <row r="477" spans="1:27" s="40" customFormat="1" ht="39.950000000000003" hidden="1" customHeight="1" x14ac:dyDescent="0.25">
      <c r="A477" s="49">
        <v>9</v>
      </c>
      <c r="B477" s="50" t="str">
        <f t="shared" ref="B477:J477" si="984">B476</f>
        <v>H D Kote</v>
      </c>
      <c r="C477" s="50" t="str">
        <f t="shared" si="984"/>
        <v>HDKOTE/1714</v>
      </c>
      <c r="D477" s="50" t="str">
        <f t="shared" si="984"/>
        <v>HEAD MASTER G.L.P.S</v>
      </c>
      <c r="E477" s="50" t="str">
        <f t="shared" si="984"/>
        <v>HDTL31052</v>
      </c>
      <c r="F477" s="50">
        <f t="shared" si="984"/>
        <v>0.24</v>
      </c>
      <c r="G477" s="50" t="str">
        <f t="shared" si="984"/>
        <v>GOVT</v>
      </c>
      <c r="H477" s="50" t="str">
        <f t="shared" si="984"/>
        <v>IPDS</v>
      </c>
      <c r="I477" s="50">
        <f t="shared" si="984"/>
        <v>1</v>
      </c>
      <c r="J477" s="50" t="str">
        <f t="shared" si="984"/>
        <v>LT 2</v>
      </c>
      <c r="K477" s="84">
        <f>HDTL31052!Q16</f>
        <v>782</v>
      </c>
      <c r="L477" s="84">
        <f>HDTL31052!P16</f>
        <v>807</v>
      </c>
      <c r="M477" s="84">
        <f t="shared" si="976"/>
        <v>1</v>
      </c>
      <c r="N477" s="84">
        <f t="shared" si="980"/>
        <v>25</v>
      </c>
      <c r="O477" s="84">
        <f>HDTL31052!F16</f>
        <v>85</v>
      </c>
      <c r="P477" s="84">
        <f>HDTL31052!E16</f>
        <v>88</v>
      </c>
      <c r="Q477" s="84">
        <f t="shared" si="977"/>
        <v>1</v>
      </c>
      <c r="R477" s="84">
        <f t="shared" si="981"/>
        <v>3</v>
      </c>
      <c r="S477" s="84">
        <f>HDTL31052!K16</f>
        <v>345</v>
      </c>
      <c r="T477" s="84">
        <f>HDTL31052!J16</f>
        <v>367</v>
      </c>
      <c r="U477" s="84">
        <f t="shared" si="978"/>
        <v>1</v>
      </c>
      <c r="V477" s="84">
        <f t="shared" si="982"/>
        <v>22</v>
      </c>
      <c r="W477" s="84"/>
      <c r="X477" s="84"/>
      <c r="Y477" s="85">
        <f t="shared" si="983"/>
        <v>0.83333333333333337</v>
      </c>
      <c r="Z477" s="84"/>
      <c r="AA477" s="82" t="s">
        <v>258</v>
      </c>
    </row>
    <row r="478" spans="1:27" s="40" customFormat="1" ht="39.950000000000003" hidden="1" customHeight="1" x14ac:dyDescent="0.25">
      <c r="A478" s="49">
        <v>10</v>
      </c>
      <c r="B478" s="50" t="str">
        <f t="shared" ref="B478:J478" si="985">B477</f>
        <v>H D Kote</v>
      </c>
      <c r="C478" s="50" t="str">
        <f t="shared" si="985"/>
        <v>HDKOTE/1714</v>
      </c>
      <c r="D478" s="50" t="str">
        <f t="shared" si="985"/>
        <v>HEAD MASTER G.L.P.S</v>
      </c>
      <c r="E478" s="50" t="str">
        <f t="shared" si="985"/>
        <v>HDTL31052</v>
      </c>
      <c r="F478" s="50">
        <f t="shared" si="985"/>
        <v>0.24</v>
      </c>
      <c r="G478" s="50" t="str">
        <f t="shared" si="985"/>
        <v>GOVT</v>
      </c>
      <c r="H478" s="50" t="str">
        <f t="shared" si="985"/>
        <v>IPDS</v>
      </c>
      <c r="I478" s="50">
        <f t="shared" si="985"/>
        <v>1</v>
      </c>
      <c r="J478" s="50" t="str">
        <f t="shared" si="985"/>
        <v>LT 2</v>
      </c>
      <c r="K478" s="84">
        <f>HDTL31052!Q17</f>
        <v>0</v>
      </c>
      <c r="L478" s="84">
        <f>HDTL31052!P17</f>
        <v>0</v>
      </c>
      <c r="M478" s="84">
        <f t="shared" si="976"/>
        <v>1</v>
      </c>
      <c r="N478" s="84">
        <f t="shared" si="980"/>
        <v>0</v>
      </c>
      <c r="O478" s="84">
        <f>HDTL31052!F17</f>
        <v>0</v>
      </c>
      <c r="P478" s="84">
        <f>HDTL31052!E17</f>
        <v>0</v>
      </c>
      <c r="Q478" s="84">
        <f t="shared" si="977"/>
        <v>1</v>
      </c>
      <c r="R478" s="84">
        <f t="shared" si="981"/>
        <v>0</v>
      </c>
      <c r="S478" s="84">
        <f>HDTL31052!K17</f>
        <v>0</v>
      </c>
      <c r="T478" s="84">
        <f>HDTL31052!J17</f>
        <v>0</v>
      </c>
      <c r="U478" s="84">
        <f t="shared" si="978"/>
        <v>1</v>
      </c>
      <c r="V478" s="84">
        <f t="shared" si="982"/>
        <v>0</v>
      </c>
      <c r="W478" s="84"/>
      <c r="X478" s="84"/>
      <c r="Y478" s="85">
        <f t="shared" si="983"/>
        <v>0</v>
      </c>
      <c r="Z478" s="84"/>
      <c r="AA478" s="82"/>
    </row>
    <row r="479" spans="1:27" s="40" customFormat="1" ht="39.950000000000003" hidden="1" customHeight="1" x14ac:dyDescent="0.25">
      <c r="A479" s="49">
        <v>11</v>
      </c>
      <c r="B479" s="50" t="str">
        <f t="shared" ref="B479:J479" si="986">B478</f>
        <v>H D Kote</v>
      </c>
      <c r="C479" s="50" t="str">
        <f t="shared" si="986"/>
        <v>HDKOTE/1714</v>
      </c>
      <c r="D479" s="50" t="str">
        <f t="shared" si="986"/>
        <v>HEAD MASTER G.L.P.S</v>
      </c>
      <c r="E479" s="50" t="str">
        <f t="shared" si="986"/>
        <v>HDTL31052</v>
      </c>
      <c r="F479" s="50">
        <f t="shared" si="986"/>
        <v>0.24</v>
      </c>
      <c r="G479" s="50" t="str">
        <f t="shared" si="986"/>
        <v>GOVT</v>
      </c>
      <c r="H479" s="50" t="str">
        <f t="shared" si="986"/>
        <v>IPDS</v>
      </c>
      <c r="I479" s="50">
        <f t="shared" si="986"/>
        <v>1</v>
      </c>
      <c r="J479" s="50" t="str">
        <f t="shared" si="986"/>
        <v>LT 2</v>
      </c>
      <c r="K479" s="84">
        <f>HDTL31052!Q18</f>
        <v>807</v>
      </c>
      <c r="L479" s="84">
        <f>HDTL31052!P18</f>
        <v>832</v>
      </c>
      <c r="M479" s="84">
        <f t="shared" si="976"/>
        <v>1</v>
      </c>
      <c r="N479" s="84">
        <f t="shared" si="980"/>
        <v>25</v>
      </c>
      <c r="O479" s="84">
        <f>HDTL31052!F18</f>
        <v>88</v>
      </c>
      <c r="P479" s="84">
        <f>HDTL31052!E18</f>
        <v>89</v>
      </c>
      <c r="Q479" s="84">
        <f t="shared" si="977"/>
        <v>1</v>
      </c>
      <c r="R479" s="84">
        <f t="shared" si="981"/>
        <v>1</v>
      </c>
      <c r="S479" s="84">
        <f>HDTL31052!K18</f>
        <v>367</v>
      </c>
      <c r="T479" s="84">
        <f>HDTL31052!J18</f>
        <v>389</v>
      </c>
      <c r="U479" s="84">
        <f t="shared" si="978"/>
        <v>1</v>
      </c>
      <c r="V479" s="84">
        <f t="shared" si="982"/>
        <v>22</v>
      </c>
      <c r="W479" s="84"/>
      <c r="X479" s="84"/>
      <c r="Y479" s="85">
        <f t="shared" si="983"/>
        <v>0.83333333333333337</v>
      </c>
      <c r="Z479" s="84"/>
      <c r="AA479" s="82" t="s">
        <v>259</v>
      </c>
    </row>
    <row r="480" spans="1:27" s="40" customFormat="1" ht="39.950000000000003" hidden="1" customHeight="1" x14ac:dyDescent="0.25">
      <c r="A480" s="49">
        <v>12</v>
      </c>
      <c r="B480" s="50" t="str">
        <f t="shared" ref="B480:J480" si="987">B479</f>
        <v>H D Kote</v>
      </c>
      <c r="C480" s="50" t="str">
        <f t="shared" si="987"/>
        <v>HDKOTE/1714</v>
      </c>
      <c r="D480" s="50" t="str">
        <f t="shared" si="987"/>
        <v>HEAD MASTER G.L.P.S</v>
      </c>
      <c r="E480" s="50" t="str">
        <f t="shared" si="987"/>
        <v>HDTL31052</v>
      </c>
      <c r="F480" s="50">
        <f t="shared" si="987"/>
        <v>0.24</v>
      </c>
      <c r="G480" s="50" t="str">
        <f t="shared" si="987"/>
        <v>GOVT</v>
      </c>
      <c r="H480" s="50" t="str">
        <f t="shared" si="987"/>
        <v>IPDS</v>
      </c>
      <c r="I480" s="50">
        <f t="shared" si="987"/>
        <v>1</v>
      </c>
      <c r="J480" s="50" t="str">
        <f t="shared" si="987"/>
        <v>LT 2</v>
      </c>
      <c r="K480" s="84">
        <f>HDTL31052!Q19</f>
        <v>832</v>
      </c>
      <c r="L480" s="84">
        <f>HDTL31052!P19</f>
        <v>857</v>
      </c>
      <c r="M480" s="84">
        <f t="shared" si="976"/>
        <v>1</v>
      </c>
      <c r="N480" s="84">
        <f t="shared" si="980"/>
        <v>25</v>
      </c>
      <c r="O480" s="84">
        <f>HDTL31052!F19</f>
        <v>88</v>
      </c>
      <c r="P480" s="84">
        <f>HDTL31052!E19</f>
        <v>92</v>
      </c>
      <c r="Q480" s="84">
        <f t="shared" si="977"/>
        <v>1</v>
      </c>
      <c r="R480" s="84">
        <f t="shared" si="981"/>
        <v>4</v>
      </c>
      <c r="S480" s="84">
        <f>HDTL31052!K19</f>
        <v>389</v>
      </c>
      <c r="T480" s="84">
        <f>HDTL31052!J19</f>
        <v>411</v>
      </c>
      <c r="U480" s="84">
        <f t="shared" si="978"/>
        <v>1</v>
      </c>
      <c r="V480" s="84">
        <f t="shared" si="982"/>
        <v>22</v>
      </c>
      <c r="W480" s="84"/>
      <c r="X480" s="84"/>
      <c r="Y480" s="85">
        <f t="shared" si="983"/>
        <v>0.83333333333333337</v>
      </c>
      <c r="Z480" s="84"/>
      <c r="AA480" s="82" t="s">
        <v>263</v>
      </c>
    </row>
    <row r="481" spans="1:27" s="40" customFormat="1" ht="39.950000000000003" hidden="1" customHeight="1" x14ac:dyDescent="0.25">
      <c r="A481" s="49">
        <v>13</v>
      </c>
      <c r="B481" s="50" t="str">
        <f t="shared" ref="B481:J481" si="988">B480</f>
        <v>H D Kote</v>
      </c>
      <c r="C481" s="50" t="str">
        <f t="shared" si="988"/>
        <v>HDKOTE/1714</v>
      </c>
      <c r="D481" s="50" t="str">
        <f t="shared" si="988"/>
        <v>HEAD MASTER G.L.P.S</v>
      </c>
      <c r="E481" s="50" t="str">
        <f t="shared" si="988"/>
        <v>HDTL31052</v>
      </c>
      <c r="F481" s="50">
        <f t="shared" si="988"/>
        <v>0.24</v>
      </c>
      <c r="G481" s="50" t="str">
        <f t="shared" si="988"/>
        <v>GOVT</v>
      </c>
      <c r="H481" s="50" t="str">
        <f t="shared" si="988"/>
        <v>IPDS</v>
      </c>
      <c r="I481" s="50">
        <f t="shared" si="988"/>
        <v>1</v>
      </c>
      <c r="J481" s="50" t="str">
        <f t="shared" si="988"/>
        <v>LT 2</v>
      </c>
      <c r="K481" s="84">
        <f>HDTL31052!Q20</f>
        <v>857</v>
      </c>
      <c r="L481" s="84">
        <f>HDTL31052!P20</f>
        <v>882.1</v>
      </c>
      <c r="M481" s="84">
        <f t="shared" si="976"/>
        <v>1</v>
      </c>
      <c r="N481" s="84">
        <f t="shared" si="980"/>
        <v>25.100000000000023</v>
      </c>
      <c r="O481" s="84">
        <f>HDTL31052!F20</f>
        <v>92</v>
      </c>
      <c r="P481" s="84">
        <f>HDTL31052!E20</f>
        <v>100.6</v>
      </c>
      <c r="Q481" s="84">
        <f t="shared" si="977"/>
        <v>1</v>
      </c>
      <c r="R481" s="84">
        <f t="shared" si="981"/>
        <v>8.5999999999999943</v>
      </c>
      <c r="S481" s="84">
        <f>HDTL31052!K20</f>
        <v>411</v>
      </c>
      <c r="T481" s="84">
        <f>HDTL31052!J20</f>
        <v>433.4</v>
      </c>
      <c r="U481" s="84">
        <f t="shared" si="978"/>
        <v>1</v>
      </c>
      <c r="V481" s="84">
        <f t="shared" si="982"/>
        <v>22.399999999999977</v>
      </c>
      <c r="W481" s="84"/>
      <c r="X481" s="84"/>
      <c r="Y481" s="85">
        <f t="shared" si="983"/>
        <v>0.83666666666666745</v>
      </c>
      <c r="Z481" s="84"/>
      <c r="AA481" s="82" t="s">
        <v>265</v>
      </c>
    </row>
    <row r="482" spans="1:27" s="40" customFormat="1" ht="39.950000000000003" hidden="1" customHeight="1" x14ac:dyDescent="0.25">
      <c r="A482" s="49">
        <v>14</v>
      </c>
      <c r="B482" s="50" t="str">
        <f t="shared" ref="B482:J482" si="989">B481</f>
        <v>H D Kote</v>
      </c>
      <c r="C482" s="50" t="str">
        <f t="shared" si="989"/>
        <v>HDKOTE/1714</v>
      </c>
      <c r="D482" s="50" t="str">
        <f t="shared" si="989"/>
        <v>HEAD MASTER G.L.P.S</v>
      </c>
      <c r="E482" s="50" t="str">
        <f t="shared" si="989"/>
        <v>HDTL31052</v>
      </c>
      <c r="F482" s="50">
        <f t="shared" si="989"/>
        <v>0.24</v>
      </c>
      <c r="G482" s="50" t="str">
        <f t="shared" si="989"/>
        <v>GOVT</v>
      </c>
      <c r="H482" s="50" t="str">
        <f t="shared" si="989"/>
        <v>IPDS</v>
      </c>
      <c r="I482" s="50">
        <f t="shared" si="989"/>
        <v>1</v>
      </c>
      <c r="J482" s="50" t="str">
        <f t="shared" si="989"/>
        <v>LT 2</v>
      </c>
      <c r="K482" s="84">
        <f>HDTL31052!Q21</f>
        <v>882.1</v>
      </c>
      <c r="L482" s="84">
        <f>HDTL31052!P21</f>
        <v>910.8</v>
      </c>
      <c r="M482" s="84">
        <f t="shared" si="976"/>
        <v>1</v>
      </c>
      <c r="N482" s="84">
        <f t="shared" ref="N482:N491" si="990">(L482-K482)*M482</f>
        <v>28.699999999999932</v>
      </c>
      <c r="O482" s="84">
        <f>HDTL31052!F21</f>
        <v>100.6</v>
      </c>
      <c r="P482" s="84">
        <f>HDTL31052!E21</f>
        <v>102.6</v>
      </c>
      <c r="Q482" s="84">
        <f t="shared" si="977"/>
        <v>1</v>
      </c>
      <c r="R482" s="84">
        <f t="shared" ref="R482:R491" si="991">(P482-O482)*Q482</f>
        <v>2</v>
      </c>
      <c r="S482" s="84">
        <f>HDTL31052!K21</f>
        <v>433.4</v>
      </c>
      <c r="T482" s="84">
        <f>HDTL31052!J21</f>
        <v>457.2</v>
      </c>
      <c r="U482" s="84">
        <f t="shared" si="978"/>
        <v>1</v>
      </c>
      <c r="V482" s="84">
        <f t="shared" ref="V482:V491" si="992">(T482-S482)*U482</f>
        <v>23.800000000000011</v>
      </c>
      <c r="W482" s="84"/>
      <c r="X482" s="84"/>
      <c r="Y482" s="85">
        <f t="shared" ref="Y482:Y491" si="993">N482/30/I482</f>
        <v>0.95666666666666444</v>
      </c>
      <c r="Z482" s="84"/>
      <c r="AA482" s="82"/>
    </row>
    <row r="483" spans="1:27" s="40" customFormat="1" ht="39.950000000000003" hidden="1" customHeight="1" x14ac:dyDescent="0.25">
      <c r="A483" s="49">
        <v>15</v>
      </c>
      <c r="B483" s="50" t="str">
        <f t="shared" ref="B483:J483" si="994">B482</f>
        <v>H D Kote</v>
      </c>
      <c r="C483" s="50" t="str">
        <f t="shared" si="994"/>
        <v>HDKOTE/1714</v>
      </c>
      <c r="D483" s="50" t="str">
        <f t="shared" si="994"/>
        <v>HEAD MASTER G.L.P.S</v>
      </c>
      <c r="E483" s="50" t="str">
        <f t="shared" si="994"/>
        <v>HDTL31052</v>
      </c>
      <c r="F483" s="50">
        <f t="shared" si="994"/>
        <v>0.24</v>
      </c>
      <c r="G483" s="50" t="str">
        <f t="shared" si="994"/>
        <v>GOVT</v>
      </c>
      <c r="H483" s="50" t="str">
        <f t="shared" si="994"/>
        <v>IPDS</v>
      </c>
      <c r="I483" s="50">
        <f t="shared" si="994"/>
        <v>1</v>
      </c>
      <c r="J483" s="50" t="str">
        <f t="shared" si="994"/>
        <v>LT 2</v>
      </c>
      <c r="K483" s="84">
        <f>HDTL31052!Q22</f>
        <v>910.8</v>
      </c>
      <c r="L483" s="84">
        <f>HDTL31052!P22</f>
        <v>941.3</v>
      </c>
      <c r="M483" s="84">
        <f t="shared" si="976"/>
        <v>1</v>
      </c>
      <c r="N483" s="84">
        <f t="shared" si="990"/>
        <v>30.5</v>
      </c>
      <c r="O483" s="84">
        <f>HDTL31052!F22</f>
        <v>102.6</v>
      </c>
      <c r="P483" s="84">
        <f>HDTL31052!E22</f>
        <v>105</v>
      </c>
      <c r="Q483" s="84">
        <f t="shared" si="977"/>
        <v>1</v>
      </c>
      <c r="R483" s="84">
        <f t="shared" si="991"/>
        <v>2.4000000000000057</v>
      </c>
      <c r="S483" s="84">
        <f>HDTL31052!K22</f>
        <v>457.2</v>
      </c>
      <c r="T483" s="84">
        <f>HDTL31052!J22</f>
        <v>485.7</v>
      </c>
      <c r="U483" s="84">
        <f t="shared" si="978"/>
        <v>1</v>
      </c>
      <c r="V483" s="84">
        <f t="shared" si="992"/>
        <v>28.5</v>
      </c>
      <c r="W483" s="84"/>
      <c r="X483" s="84"/>
      <c r="Y483" s="85">
        <f t="shared" si="993"/>
        <v>1.0166666666666666</v>
      </c>
      <c r="Z483" s="84"/>
      <c r="AA483" s="82"/>
    </row>
    <row r="484" spans="1:27" s="40" customFormat="1" ht="39.950000000000003" hidden="1" customHeight="1" x14ac:dyDescent="0.25">
      <c r="A484" s="49">
        <v>16</v>
      </c>
      <c r="B484" s="50" t="str">
        <f t="shared" ref="B484:J484" si="995">B483</f>
        <v>H D Kote</v>
      </c>
      <c r="C484" s="50" t="str">
        <f t="shared" si="995"/>
        <v>HDKOTE/1714</v>
      </c>
      <c r="D484" s="50" t="str">
        <f t="shared" si="995"/>
        <v>HEAD MASTER G.L.P.S</v>
      </c>
      <c r="E484" s="50" t="str">
        <f t="shared" si="995"/>
        <v>HDTL31052</v>
      </c>
      <c r="F484" s="50">
        <f t="shared" si="995"/>
        <v>0.24</v>
      </c>
      <c r="G484" s="50" t="str">
        <f t="shared" si="995"/>
        <v>GOVT</v>
      </c>
      <c r="H484" s="50" t="str">
        <f t="shared" si="995"/>
        <v>IPDS</v>
      </c>
      <c r="I484" s="50">
        <f t="shared" si="995"/>
        <v>1</v>
      </c>
      <c r="J484" s="50" t="str">
        <f t="shared" si="995"/>
        <v>LT 2</v>
      </c>
      <c r="K484" s="84">
        <f>HDTL31052!Q23</f>
        <v>941.3</v>
      </c>
      <c r="L484" s="84">
        <f>HDTL31052!P23</f>
        <v>988</v>
      </c>
      <c r="M484" s="84">
        <f t="shared" si="976"/>
        <v>1</v>
      </c>
      <c r="N484" s="84">
        <f t="shared" si="990"/>
        <v>46.700000000000045</v>
      </c>
      <c r="O484" s="84">
        <f>HDTL31052!F23</f>
        <v>105</v>
      </c>
      <c r="P484" s="84">
        <f>HDTL31052!E23</f>
        <v>107.2</v>
      </c>
      <c r="Q484" s="84">
        <f t="shared" si="977"/>
        <v>1</v>
      </c>
      <c r="R484" s="84">
        <f t="shared" si="991"/>
        <v>2.2000000000000028</v>
      </c>
      <c r="S484" s="84">
        <f>HDTL31052!K23</f>
        <v>485.7</v>
      </c>
      <c r="T484" s="84">
        <f>HDTL31052!J23</f>
        <v>529.70000000000005</v>
      </c>
      <c r="U484" s="84">
        <f t="shared" si="978"/>
        <v>1</v>
      </c>
      <c r="V484" s="84">
        <f t="shared" si="992"/>
        <v>44.000000000000057</v>
      </c>
      <c r="W484" s="84"/>
      <c r="X484" s="84"/>
      <c r="Y484" s="85">
        <f t="shared" si="993"/>
        <v>1.5566666666666682</v>
      </c>
      <c r="Z484" s="84"/>
      <c r="AA484" s="82"/>
    </row>
    <row r="485" spans="1:27" s="40" customFormat="1" ht="39.950000000000003" hidden="1" customHeight="1" x14ac:dyDescent="0.25">
      <c r="A485" s="93">
        <v>17</v>
      </c>
      <c r="B485" s="50" t="str">
        <f t="shared" ref="B485:J485" si="996">B484</f>
        <v>H D Kote</v>
      </c>
      <c r="C485" s="50" t="str">
        <f t="shared" si="996"/>
        <v>HDKOTE/1714</v>
      </c>
      <c r="D485" s="50" t="str">
        <f t="shared" si="996"/>
        <v>HEAD MASTER G.L.P.S</v>
      </c>
      <c r="E485" s="50" t="str">
        <f t="shared" si="996"/>
        <v>HDTL31052</v>
      </c>
      <c r="F485" s="50">
        <f t="shared" si="996"/>
        <v>0.24</v>
      </c>
      <c r="G485" s="50" t="str">
        <f t="shared" si="996"/>
        <v>GOVT</v>
      </c>
      <c r="H485" s="50" t="str">
        <f t="shared" si="996"/>
        <v>IPDS</v>
      </c>
      <c r="I485" s="50">
        <f t="shared" si="996"/>
        <v>1</v>
      </c>
      <c r="J485" s="50" t="str">
        <f t="shared" si="996"/>
        <v>LT 2</v>
      </c>
      <c r="K485" s="84">
        <f>HDTL31052!Q24</f>
        <v>988</v>
      </c>
      <c r="L485" s="84">
        <f>HDTL31052!P24</f>
        <v>1037.9000000000001</v>
      </c>
      <c r="M485" s="84">
        <f t="shared" si="976"/>
        <v>1</v>
      </c>
      <c r="N485" s="84">
        <f t="shared" si="990"/>
        <v>49.900000000000091</v>
      </c>
      <c r="O485" s="84">
        <f>HDTL31052!F24</f>
        <v>107.2</v>
      </c>
      <c r="P485" s="84">
        <f>HDTL31052!E24</f>
        <v>109.7</v>
      </c>
      <c r="Q485" s="84">
        <f t="shared" si="977"/>
        <v>1</v>
      </c>
      <c r="R485" s="84">
        <f t="shared" si="991"/>
        <v>2.5</v>
      </c>
      <c r="S485" s="84">
        <f>HDTL31052!K24</f>
        <v>529.70000000000005</v>
      </c>
      <c r="T485" s="84">
        <f>HDTL31052!J24</f>
        <v>576.9</v>
      </c>
      <c r="U485" s="84">
        <f t="shared" si="978"/>
        <v>1</v>
      </c>
      <c r="V485" s="84">
        <f t="shared" si="992"/>
        <v>47.199999999999932</v>
      </c>
      <c r="W485" s="84"/>
      <c r="X485" s="84"/>
      <c r="Y485" s="85">
        <f t="shared" si="993"/>
        <v>1.6633333333333364</v>
      </c>
      <c r="Z485" s="84"/>
      <c r="AA485" s="82"/>
    </row>
    <row r="486" spans="1:27" s="40" customFormat="1" ht="39.950000000000003" hidden="1" customHeight="1" x14ac:dyDescent="0.25">
      <c r="A486" s="94">
        <v>18</v>
      </c>
      <c r="B486" s="50" t="str">
        <f t="shared" ref="B486:J486" si="997">B485</f>
        <v>H D Kote</v>
      </c>
      <c r="C486" s="50" t="str">
        <f t="shared" si="997"/>
        <v>HDKOTE/1714</v>
      </c>
      <c r="D486" s="50" t="str">
        <f t="shared" si="997"/>
        <v>HEAD MASTER G.L.P.S</v>
      </c>
      <c r="E486" s="50" t="str">
        <f t="shared" si="997"/>
        <v>HDTL31052</v>
      </c>
      <c r="F486" s="50">
        <f t="shared" si="997"/>
        <v>0.24</v>
      </c>
      <c r="G486" s="50" t="str">
        <f t="shared" si="997"/>
        <v>GOVT</v>
      </c>
      <c r="H486" s="50" t="str">
        <f t="shared" si="997"/>
        <v>IPDS</v>
      </c>
      <c r="I486" s="50">
        <f t="shared" si="997"/>
        <v>1</v>
      </c>
      <c r="J486" s="50" t="str">
        <f t="shared" si="997"/>
        <v>LT 2</v>
      </c>
      <c r="K486" s="84">
        <f>HDTL31052!Q25</f>
        <v>1037.9000000000001</v>
      </c>
      <c r="L486" s="84">
        <f>HDTL31052!P25</f>
        <v>1095.5</v>
      </c>
      <c r="M486" s="84">
        <f t="shared" si="976"/>
        <v>1</v>
      </c>
      <c r="N486" s="84">
        <f t="shared" si="990"/>
        <v>57.599999999999909</v>
      </c>
      <c r="O486" s="84">
        <f>HDTL31052!F25</f>
        <v>109.7</v>
      </c>
      <c r="P486" s="84">
        <f>HDTL31052!E25</f>
        <v>113.3</v>
      </c>
      <c r="Q486" s="84">
        <f t="shared" si="977"/>
        <v>1</v>
      </c>
      <c r="R486" s="84">
        <f t="shared" si="991"/>
        <v>3.5999999999999943</v>
      </c>
      <c r="S486" s="84">
        <f>HDTL31052!K25</f>
        <v>576.9</v>
      </c>
      <c r="T486" s="84">
        <f>HDTL31052!J25</f>
        <v>631.79999999999995</v>
      </c>
      <c r="U486" s="84">
        <f t="shared" si="978"/>
        <v>1</v>
      </c>
      <c r="V486" s="84">
        <f t="shared" si="992"/>
        <v>54.899999999999977</v>
      </c>
      <c r="W486" s="84"/>
      <c r="X486" s="84"/>
      <c r="Y486" s="85">
        <f t="shared" si="993"/>
        <v>1.919999999999997</v>
      </c>
      <c r="Z486" s="84"/>
      <c r="AA486" s="82"/>
    </row>
    <row r="487" spans="1:27" s="40" customFormat="1" ht="39.950000000000003" hidden="1" customHeight="1" x14ac:dyDescent="0.25">
      <c r="A487" s="95">
        <v>19</v>
      </c>
      <c r="B487" s="50" t="str">
        <f t="shared" ref="B487:J487" si="998">B486</f>
        <v>H D Kote</v>
      </c>
      <c r="C487" s="50" t="str">
        <f t="shared" si="998"/>
        <v>HDKOTE/1714</v>
      </c>
      <c r="D487" s="50" t="str">
        <f t="shared" si="998"/>
        <v>HEAD MASTER G.L.P.S</v>
      </c>
      <c r="E487" s="50" t="str">
        <f t="shared" si="998"/>
        <v>HDTL31052</v>
      </c>
      <c r="F487" s="50">
        <f t="shared" si="998"/>
        <v>0.24</v>
      </c>
      <c r="G487" s="50" t="str">
        <f t="shared" si="998"/>
        <v>GOVT</v>
      </c>
      <c r="H487" s="50" t="str">
        <f t="shared" si="998"/>
        <v>IPDS</v>
      </c>
      <c r="I487" s="50">
        <f t="shared" si="998"/>
        <v>1</v>
      </c>
      <c r="J487" s="50" t="str">
        <f t="shared" si="998"/>
        <v>LT 2</v>
      </c>
      <c r="K487" s="84">
        <f>HDTL31052!Q26</f>
        <v>1095.5</v>
      </c>
      <c r="L487" s="84">
        <f>HDTL31052!P26</f>
        <v>1150.5</v>
      </c>
      <c r="M487" s="84">
        <f t="shared" si="976"/>
        <v>1</v>
      </c>
      <c r="N487" s="84">
        <f t="shared" si="990"/>
        <v>55</v>
      </c>
      <c r="O487" s="84">
        <f>HDTL31052!F26</f>
        <v>113.3</v>
      </c>
      <c r="P487" s="84">
        <f>HDTL31052!E26</f>
        <v>115.3</v>
      </c>
      <c r="Q487" s="84">
        <f t="shared" si="977"/>
        <v>1</v>
      </c>
      <c r="R487" s="84">
        <f t="shared" si="991"/>
        <v>2</v>
      </c>
      <c r="S487" s="84">
        <f>HDTL31052!K26</f>
        <v>631.79999999999995</v>
      </c>
      <c r="T487" s="84">
        <f>HDTL31052!J26</f>
        <v>688.2</v>
      </c>
      <c r="U487" s="84">
        <f t="shared" si="978"/>
        <v>1</v>
      </c>
      <c r="V487" s="84">
        <f t="shared" si="992"/>
        <v>56.400000000000091</v>
      </c>
      <c r="W487" s="84"/>
      <c r="X487" s="84"/>
      <c r="Y487" s="85">
        <f t="shared" si="993"/>
        <v>1.8333333333333333</v>
      </c>
      <c r="Z487" s="84"/>
      <c r="AA487" s="82"/>
    </row>
    <row r="488" spans="1:27" s="40" customFormat="1" ht="39.950000000000003" hidden="1" customHeight="1" x14ac:dyDescent="0.25">
      <c r="A488" s="49">
        <v>20</v>
      </c>
      <c r="B488" s="50" t="str">
        <f t="shared" ref="B488:J492" si="999">B487</f>
        <v>H D Kote</v>
      </c>
      <c r="C488" s="50" t="str">
        <f t="shared" si="999"/>
        <v>HDKOTE/1714</v>
      </c>
      <c r="D488" s="50" t="str">
        <f t="shared" si="999"/>
        <v>HEAD MASTER G.L.P.S</v>
      </c>
      <c r="E488" s="50" t="str">
        <f t="shared" si="999"/>
        <v>HDTL31052</v>
      </c>
      <c r="F488" s="50">
        <f t="shared" si="999"/>
        <v>0.24</v>
      </c>
      <c r="G488" s="50" t="str">
        <f t="shared" si="999"/>
        <v>GOVT</v>
      </c>
      <c r="H488" s="50" t="str">
        <f t="shared" si="999"/>
        <v>IPDS</v>
      </c>
      <c r="I488" s="50">
        <f t="shared" si="999"/>
        <v>1</v>
      </c>
      <c r="J488" s="50" t="str">
        <f t="shared" si="999"/>
        <v>LT 2</v>
      </c>
      <c r="K488" s="84">
        <f>HDTL31052!Q27</f>
        <v>1150.5</v>
      </c>
      <c r="L488" s="84">
        <f>HDTL31052!P27</f>
        <v>1210.5</v>
      </c>
      <c r="M488" s="84">
        <f t="shared" si="976"/>
        <v>1</v>
      </c>
      <c r="N488" s="84">
        <f t="shared" ref="N488" si="1000">(L488-K488)*M488</f>
        <v>60</v>
      </c>
      <c r="O488" s="84">
        <f>HDTL31052!F27</f>
        <v>115.3</v>
      </c>
      <c r="P488" s="84">
        <f>HDTL31052!E27</f>
        <v>117.4</v>
      </c>
      <c r="Q488" s="84">
        <f t="shared" si="977"/>
        <v>1</v>
      </c>
      <c r="R488" s="84">
        <f t="shared" ref="R488" si="1001">(P488-O488)*Q488</f>
        <v>2.1000000000000085</v>
      </c>
      <c r="S488" s="84">
        <f>HDTL31052!K27</f>
        <v>688.2</v>
      </c>
      <c r="T488" s="84">
        <f>HDTL31052!J27</f>
        <v>742.6</v>
      </c>
      <c r="U488" s="84">
        <f t="shared" si="978"/>
        <v>1</v>
      </c>
      <c r="V488" s="84">
        <f t="shared" ref="V488" si="1002">(T488-S488)*U488</f>
        <v>54.399999999999977</v>
      </c>
      <c r="W488" s="84"/>
      <c r="X488" s="84"/>
      <c r="Y488" s="85">
        <f t="shared" ref="Y488" si="1003">N488/30/I488</f>
        <v>2</v>
      </c>
      <c r="Z488" s="84"/>
      <c r="AA488" s="82"/>
    </row>
    <row r="489" spans="1:27" s="40" customFormat="1" ht="39.950000000000003" hidden="1" customHeight="1" x14ac:dyDescent="0.25">
      <c r="A489" s="49">
        <v>21</v>
      </c>
      <c r="B489" s="50" t="str">
        <f t="shared" ref="B489:J489" si="1004">B488</f>
        <v>H D Kote</v>
      </c>
      <c r="C489" s="50" t="str">
        <f t="shared" si="1004"/>
        <v>HDKOTE/1714</v>
      </c>
      <c r="D489" s="50" t="str">
        <f t="shared" si="1004"/>
        <v>HEAD MASTER G.L.P.S</v>
      </c>
      <c r="E489" s="50" t="str">
        <f t="shared" si="1004"/>
        <v>HDTL31052</v>
      </c>
      <c r="F489" s="50">
        <f t="shared" si="1004"/>
        <v>0.24</v>
      </c>
      <c r="G489" s="50" t="str">
        <f t="shared" si="1004"/>
        <v>GOVT</v>
      </c>
      <c r="H489" s="50" t="str">
        <f t="shared" si="1004"/>
        <v>IPDS</v>
      </c>
      <c r="I489" s="50">
        <f t="shared" si="1004"/>
        <v>1</v>
      </c>
      <c r="J489" s="50" t="str">
        <f t="shared" si="1004"/>
        <v>LT 2</v>
      </c>
      <c r="K489" s="84">
        <f>HDTL31052!Q28</f>
        <v>1210.5</v>
      </c>
      <c r="L489" s="84">
        <f>HDTL31052!P28</f>
        <v>1258.3</v>
      </c>
      <c r="M489" s="84">
        <f t="shared" si="976"/>
        <v>1</v>
      </c>
      <c r="N489" s="84">
        <f t="shared" si="990"/>
        <v>47.799999999999955</v>
      </c>
      <c r="O489" s="84">
        <f>HDTL31052!F28</f>
        <v>117.4</v>
      </c>
      <c r="P489" s="84">
        <f>HDTL31052!E28</f>
        <v>121.1</v>
      </c>
      <c r="Q489" s="84">
        <f t="shared" si="977"/>
        <v>1</v>
      </c>
      <c r="R489" s="84">
        <f t="shared" si="991"/>
        <v>3.6999999999999886</v>
      </c>
      <c r="S489" s="84">
        <f>HDTL31052!K28</f>
        <v>742.6</v>
      </c>
      <c r="T489" s="84">
        <f>HDTL31052!J28</f>
        <v>784.5</v>
      </c>
      <c r="U489" s="84">
        <f t="shared" si="978"/>
        <v>1</v>
      </c>
      <c r="V489" s="84">
        <f t="shared" si="992"/>
        <v>41.899999999999977</v>
      </c>
      <c r="W489" s="84"/>
      <c r="X489" s="84"/>
      <c r="Y489" s="85">
        <f t="shared" si="993"/>
        <v>1.5933333333333317</v>
      </c>
      <c r="Z489" s="84"/>
      <c r="AA489" s="82"/>
    </row>
    <row r="490" spans="1:27" s="40" customFormat="1" ht="39.950000000000003" hidden="1" customHeight="1" x14ac:dyDescent="0.25">
      <c r="A490" s="49">
        <v>22</v>
      </c>
      <c r="B490" s="50" t="str">
        <f t="shared" si="999"/>
        <v>H D Kote</v>
      </c>
      <c r="C490" s="50" t="str">
        <f t="shared" si="999"/>
        <v>HDKOTE/1714</v>
      </c>
      <c r="D490" s="50" t="str">
        <f t="shared" si="999"/>
        <v>HEAD MASTER G.L.P.S</v>
      </c>
      <c r="E490" s="50" t="str">
        <f t="shared" si="999"/>
        <v>HDTL31052</v>
      </c>
      <c r="F490" s="50">
        <f t="shared" si="999"/>
        <v>0.24</v>
      </c>
      <c r="G490" s="50" t="str">
        <f t="shared" si="999"/>
        <v>GOVT</v>
      </c>
      <c r="H490" s="50" t="str">
        <f t="shared" si="999"/>
        <v>IPDS</v>
      </c>
      <c r="I490" s="50">
        <f t="shared" si="999"/>
        <v>1</v>
      </c>
      <c r="J490" s="50" t="str">
        <f t="shared" si="999"/>
        <v>LT 2</v>
      </c>
      <c r="K490" s="84">
        <f>HDTL31052!Q29</f>
        <v>1258.3</v>
      </c>
      <c r="L490" s="84">
        <f>HDTL31052!P29</f>
        <v>1292.3</v>
      </c>
      <c r="M490" s="84">
        <f t="shared" si="976"/>
        <v>1</v>
      </c>
      <c r="N490" s="84">
        <f t="shared" si="990"/>
        <v>34</v>
      </c>
      <c r="O490" s="84">
        <f>HDTL31052!F29</f>
        <v>121.1</v>
      </c>
      <c r="P490" s="84">
        <f>HDTL31052!E29</f>
        <v>123.1</v>
      </c>
      <c r="Q490" s="84">
        <f t="shared" si="977"/>
        <v>1</v>
      </c>
      <c r="R490" s="84">
        <f t="shared" si="991"/>
        <v>2</v>
      </c>
      <c r="S490" s="84">
        <f>HDTL31052!K29</f>
        <v>784.5</v>
      </c>
      <c r="T490" s="84">
        <f>HDTL31052!J29</f>
        <v>815.7</v>
      </c>
      <c r="U490" s="84">
        <f t="shared" si="978"/>
        <v>1</v>
      </c>
      <c r="V490" s="84">
        <f t="shared" si="992"/>
        <v>31.200000000000045</v>
      </c>
      <c r="W490" s="84"/>
      <c r="X490" s="84"/>
      <c r="Y490" s="85">
        <f t="shared" si="993"/>
        <v>1.1333333333333333</v>
      </c>
      <c r="Z490" s="84"/>
      <c r="AA490" s="82"/>
    </row>
    <row r="491" spans="1:27" s="40" customFormat="1" ht="39.950000000000003" hidden="1" customHeight="1" x14ac:dyDescent="0.25">
      <c r="A491" s="49">
        <v>23</v>
      </c>
      <c r="B491" s="50" t="str">
        <f t="shared" si="999"/>
        <v>H D Kote</v>
      </c>
      <c r="C491" s="50" t="str">
        <f t="shared" si="999"/>
        <v>HDKOTE/1714</v>
      </c>
      <c r="D491" s="50" t="str">
        <f t="shared" si="999"/>
        <v>HEAD MASTER G.L.P.S</v>
      </c>
      <c r="E491" s="50" t="str">
        <f t="shared" si="999"/>
        <v>HDTL31052</v>
      </c>
      <c r="F491" s="50">
        <f t="shared" si="999"/>
        <v>0.24</v>
      </c>
      <c r="G491" s="50" t="str">
        <f t="shared" si="999"/>
        <v>GOVT</v>
      </c>
      <c r="H491" s="50" t="str">
        <f t="shared" si="999"/>
        <v>IPDS</v>
      </c>
      <c r="I491" s="50">
        <f t="shared" si="999"/>
        <v>1</v>
      </c>
      <c r="J491" s="50" t="str">
        <f t="shared" si="999"/>
        <v>LT 2</v>
      </c>
      <c r="K491" s="84">
        <f>HDTL31052!Q31</f>
        <v>1292.3</v>
      </c>
      <c r="L491" s="84">
        <f>HDTL31052!P31</f>
        <v>1316.3</v>
      </c>
      <c r="M491" s="84">
        <f t="shared" si="976"/>
        <v>1</v>
      </c>
      <c r="N491" s="84">
        <f t="shared" si="990"/>
        <v>24</v>
      </c>
      <c r="O491" s="84">
        <f>HDTL31052!F31</f>
        <v>123.1</v>
      </c>
      <c r="P491" s="84">
        <f>HDTL31052!E31</f>
        <v>126.1</v>
      </c>
      <c r="Q491" s="84">
        <f t="shared" si="977"/>
        <v>1</v>
      </c>
      <c r="R491" s="84">
        <f t="shared" si="991"/>
        <v>3</v>
      </c>
      <c r="S491" s="84">
        <f>HDTL31052!K31</f>
        <v>815.7</v>
      </c>
      <c r="T491" s="84">
        <f>HDTL31052!J31</f>
        <v>836.7</v>
      </c>
      <c r="U491" s="84">
        <f t="shared" si="978"/>
        <v>1</v>
      </c>
      <c r="V491" s="84">
        <f t="shared" si="992"/>
        <v>21</v>
      </c>
      <c r="W491" s="84"/>
      <c r="X491" s="84"/>
      <c r="Y491" s="85">
        <f t="shared" si="993"/>
        <v>0.8</v>
      </c>
      <c r="Z491" s="84"/>
      <c r="AA491" s="82"/>
    </row>
    <row r="492" spans="1:27" s="40" customFormat="1" ht="39.950000000000003" hidden="1" customHeight="1" x14ac:dyDescent="0.25">
      <c r="A492" s="49">
        <v>24</v>
      </c>
      <c r="B492" s="50" t="str">
        <f t="shared" si="999"/>
        <v>H D Kote</v>
      </c>
      <c r="C492" s="50" t="str">
        <f t="shared" si="999"/>
        <v>HDKOTE/1714</v>
      </c>
      <c r="D492" s="50" t="str">
        <f t="shared" si="999"/>
        <v>HEAD MASTER G.L.P.S</v>
      </c>
      <c r="E492" s="50" t="str">
        <f t="shared" si="999"/>
        <v>HDTL31052</v>
      </c>
      <c r="F492" s="50">
        <f t="shared" si="999"/>
        <v>0.24</v>
      </c>
      <c r="G492" s="50" t="str">
        <f t="shared" si="999"/>
        <v>GOVT</v>
      </c>
      <c r="H492" s="50" t="str">
        <f t="shared" si="999"/>
        <v>IPDS</v>
      </c>
      <c r="I492" s="50">
        <f t="shared" si="999"/>
        <v>1</v>
      </c>
      <c r="J492" s="50" t="str">
        <f t="shared" si="999"/>
        <v>LT 2</v>
      </c>
      <c r="K492" s="84">
        <f>HDTL31052!Q32</f>
        <v>1316.3</v>
      </c>
      <c r="L492" s="84">
        <f>HDTL31052!P32</f>
        <v>1340.3</v>
      </c>
      <c r="M492" s="84">
        <f t="shared" si="976"/>
        <v>1</v>
      </c>
      <c r="N492" s="84">
        <f t="shared" ref="N492:N495" si="1005">(L492-K492)*M492</f>
        <v>24</v>
      </c>
      <c r="O492" s="84">
        <f>HDTL31052!F32</f>
        <v>126.1</v>
      </c>
      <c r="P492" s="84">
        <f>HDTL31052!E32</f>
        <v>129.19999999999999</v>
      </c>
      <c r="Q492" s="84">
        <f t="shared" si="977"/>
        <v>1</v>
      </c>
      <c r="R492" s="84">
        <f t="shared" ref="R492:R495" si="1006">(P492-O492)*Q492</f>
        <v>3.0999999999999943</v>
      </c>
      <c r="S492" s="84">
        <f>HDTL31052!K32</f>
        <v>836.7</v>
      </c>
      <c r="T492" s="84">
        <f>HDTL31052!J32</f>
        <v>857.7</v>
      </c>
      <c r="U492" s="84">
        <f t="shared" si="978"/>
        <v>1</v>
      </c>
      <c r="V492" s="84">
        <f t="shared" ref="V492:V495" si="1007">(T492-S492)*U492</f>
        <v>21</v>
      </c>
      <c r="W492" s="84"/>
      <c r="X492" s="84"/>
      <c r="Y492" s="85">
        <f t="shared" ref="Y492:Y495" si="1008">N492/30/I492</f>
        <v>0.8</v>
      </c>
      <c r="Z492" s="84"/>
      <c r="AA492" s="82"/>
    </row>
    <row r="493" spans="1:27" s="40" customFormat="1" ht="39.950000000000003" hidden="1" customHeight="1" x14ac:dyDescent="0.25">
      <c r="A493" s="49">
        <v>25</v>
      </c>
      <c r="B493" s="50" t="str">
        <f t="shared" ref="B493:J493" si="1009">B492</f>
        <v>H D Kote</v>
      </c>
      <c r="C493" s="50" t="str">
        <f t="shared" si="1009"/>
        <v>HDKOTE/1714</v>
      </c>
      <c r="D493" s="50" t="str">
        <f t="shared" si="1009"/>
        <v>HEAD MASTER G.L.P.S</v>
      </c>
      <c r="E493" s="50" t="str">
        <f t="shared" si="1009"/>
        <v>HDTL31052</v>
      </c>
      <c r="F493" s="50">
        <f t="shared" si="1009"/>
        <v>0.24</v>
      </c>
      <c r="G493" s="50" t="str">
        <f t="shared" si="1009"/>
        <v>GOVT</v>
      </c>
      <c r="H493" s="50" t="str">
        <f t="shared" si="1009"/>
        <v>IPDS</v>
      </c>
      <c r="I493" s="50">
        <f t="shared" si="1009"/>
        <v>1</v>
      </c>
      <c r="J493" s="50" t="str">
        <f t="shared" si="1009"/>
        <v>LT 2</v>
      </c>
      <c r="K493" s="84">
        <f>HDTL31052!Q33</f>
        <v>1340.3</v>
      </c>
      <c r="L493" s="84">
        <f>HDTL31052!P33</f>
        <v>1364.7</v>
      </c>
      <c r="M493" s="84">
        <f t="shared" si="976"/>
        <v>1</v>
      </c>
      <c r="N493" s="84">
        <f t="shared" si="1005"/>
        <v>24.400000000000091</v>
      </c>
      <c r="O493" s="84">
        <f>HDTL31052!F33</f>
        <v>129.19999999999999</v>
      </c>
      <c r="P493" s="84">
        <f>HDTL31052!E33</f>
        <v>132.4</v>
      </c>
      <c r="Q493" s="84">
        <f t="shared" si="977"/>
        <v>1</v>
      </c>
      <c r="R493" s="84">
        <f t="shared" si="1006"/>
        <v>3.2000000000000171</v>
      </c>
      <c r="S493" s="84">
        <f>HDTL31052!K33</f>
        <v>857.7</v>
      </c>
      <c r="T493" s="84">
        <f>HDTL31052!J33</f>
        <v>879.8</v>
      </c>
      <c r="U493" s="84">
        <f t="shared" si="978"/>
        <v>1</v>
      </c>
      <c r="V493" s="84">
        <f t="shared" si="1007"/>
        <v>22.099999999999909</v>
      </c>
      <c r="W493" s="84"/>
      <c r="X493" s="84"/>
      <c r="Y493" s="85">
        <f t="shared" si="1008"/>
        <v>0.81333333333333635</v>
      </c>
      <c r="Z493" s="84"/>
      <c r="AA493" s="82"/>
    </row>
    <row r="494" spans="1:27" s="40" customFormat="1" ht="39.950000000000003" hidden="1" customHeight="1" x14ac:dyDescent="0.25">
      <c r="A494" s="49">
        <v>26</v>
      </c>
      <c r="B494" s="50" t="str">
        <f t="shared" ref="B494:J494" si="1010">B493</f>
        <v>H D Kote</v>
      </c>
      <c r="C494" s="50" t="str">
        <f t="shared" si="1010"/>
        <v>HDKOTE/1714</v>
      </c>
      <c r="D494" s="50" t="str">
        <f t="shared" si="1010"/>
        <v>HEAD MASTER G.L.P.S</v>
      </c>
      <c r="E494" s="50" t="str">
        <f t="shared" si="1010"/>
        <v>HDTL31052</v>
      </c>
      <c r="F494" s="50">
        <f t="shared" si="1010"/>
        <v>0.24</v>
      </c>
      <c r="G494" s="50" t="str">
        <f t="shared" si="1010"/>
        <v>GOVT</v>
      </c>
      <c r="H494" s="50" t="str">
        <f t="shared" si="1010"/>
        <v>IPDS</v>
      </c>
      <c r="I494" s="50">
        <f t="shared" si="1010"/>
        <v>1</v>
      </c>
      <c r="J494" s="50" t="str">
        <f t="shared" si="1010"/>
        <v>LT 2</v>
      </c>
      <c r="K494" s="84">
        <f>HDTL31052!Q34</f>
        <v>1364.7</v>
      </c>
      <c r="L494" s="84">
        <f>HDTL31052!P34</f>
        <v>1384.7</v>
      </c>
      <c r="M494" s="84">
        <f t="shared" si="976"/>
        <v>1</v>
      </c>
      <c r="N494" s="84">
        <f t="shared" si="1005"/>
        <v>20</v>
      </c>
      <c r="O494" s="84">
        <f>HDTL31052!F34</f>
        <v>132.4</v>
      </c>
      <c r="P494" s="84">
        <f>HDTL31052!E34</f>
        <v>135.30000000000001</v>
      </c>
      <c r="Q494" s="84">
        <f t="shared" si="977"/>
        <v>1</v>
      </c>
      <c r="R494" s="84">
        <f t="shared" si="1006"/>
        <v>2.9000000000000057</v>
      </c>
      <c r="S494" s="84">
        <f>HDTL31052!K34</f>
        <v>879.8</v>
      </c>
      <c r="T494" s="84">
        <f>HDTL31052!J34</f>
        <v>897.5</v>
      </c>
      <c r="U494" s="84">
        <f t="shared" si="978"/>
        <v>1</v>
      </c>
      <c r="V494" s="84">
        <f t="shared" si="1007"/>
        <v>17.700000000000045</v>
      </c>
      <c r="W494" s="84"/>
      <c r="X494" s="84"/>
      <c r="Y494" s="85">
        <f t="shared" si="1008"/>
        <v>0.66666666666666663</v>
      </c>
      <c r="Z494" s="84"/>
      <c r="AA494" s="82"/>
    </row>
    <row r="495" spans="1:27" s="40" customFormat="1" ht="39.950000000000003" hidden="1" customHeight="1" x14ac:dyDescent="0.25">
      <c r="A495" s="49">
        <v>27</v>
      </c>
      <c r="B495" s="50" t="str">
        <f t="shared" ref="B495:J495" si="1011">B494</f>
        <v>H D Kote</v>
      </c>
      <c r="C495" s="50" t="str">
        <f t="shared" si="1011"/>
        <v>HDKOTE/1714</v>
      </c>
      <c r="D495" s="50" t="str">
        <f t="shared" si="1011"/>
        <v>HEAD MASTER G.L.P.S</v>
      </c>
      <c r="E495" s="50" t="str">
        <f t="shared" si="1011"/>
        <v>HDTL31052</v>
      </c>
      <c r="F495" s="50">
        <f t="shared" si="1011"/>
        <v>0.24</v>
      </c>
      <c r="G495" s="50" t="str">
        <f t="shared" si="1011"/>
        <v>GOVT</v>
      </c>
      <c r="H495" s="50" t="str">
        <f t="shared" si="1011"/>
        <v>IPDS</v>
      </c>
      <c r="I495" s="50">
        <f t="shared" si="1011"/>
        <v>1</v>
      </c>
      <c r="J495" s="50" t="str">
        <f t="shared" si="1011"/>
        <v>LT 2</v>
      </c>
      <c r="K495" s="84">
        <f>HDTL31052!Q35</f>
        <v>1384.7</v>
      </c>
      <c r="L495" s="84">
        <f>HDTL31052!P35</f>
        <v>1416.2</v>
      </c>
      <c r="M495" s="84">
        <f t="shared" si="976"/>
        <v>1</v>
      </c>
      <c r="N495" s="84">
        <f t="shared" si="1005"/>
        <v>31.5</v>
      </c>
      <c r="O495" s="84">
        <f>HDTL31052!F35</f>
        <v>135.30000000000001</v>
      </c>
      <c r="P495" s="84">
        <f>HDTL31052!E35</f>
        <v>137.1</v>
      </c>
      <c r="Q495" s="84">
        <f t="shared" si="977"/>
        <v>1</v>
      </c>
      <c r="R495" s="84">
        <f t="shared" si="1006"/>
        <v>1.7999999999999829</v>
      </c>
      <c r="S495" s="84">
        <f>HDTL31052!K35</f>
        <v>897.5</v>
      </c>
      <c r="T495" s="84">
        <f>HDTL31052!J35</f>
        <v>922.3</v>
      </c>
      <c r="U495" s="84">
        <f t="shared" si="978"/>
        <v>1</v>
      </c>
      <c r="V495" s="84">
        <f t="shared" si="1007"/>
        <v>24.799999999999955</v>
      </c>
      <c r="W495" s="84"/>
      <c r="X495" s="84"/>
      <c r="Y495" s="85">
        <f t="shared" si="1008"/>
        <v>1.05</v>
      </c>
      <c r="Z495" s="84"/>
      <c r="AA495" s="82"/>
    </row>
    <row r="496" spans="1:27" s="40" customFormat="1" ht="39.950000000000003" hidden="1" customHeight="1" x14ac:dyDescent="0.25">
      <c r="A496" s="49">
        <v>28</v>
      </c>
      <c r="B496" s="50" t="str">
        <f t="shared" ref="B496:J498" si="1012">B495</f>
        <v>H D Kote</v>
      </c>
      <c r="C496" s="50" t="str">
        <f t="shared" si="1012"/>
        <v>HDKOTE/1714</v>
      </c>
      <c r="D496" s="50" t="str">
        <f t="shared" si="1012"/>
        <v>HEAD MASTER G.L.P.S</v>
      </c>
      <c r="E496" s="50" t="str">
        <f t="shared" si="1012"/>
        <v>HDTL31052</v>
      </c>
      <c r="F496" s="50">
        <f t="shared" si="1012"/>
        <v>0.24</v>
      </c>
      <c r="G496" s="50" t="str">
        <f t="shared" si="1012"/>
        <v>GOVT</v>
      </c>
      <c r="H496" s="50" t="str">
        <f t="shared" si="1012"/>
        <v>IPDS</v>
      </c>
      <c r="I496" s="50">
        <f t="shared" si="1012"/>
        <v>1</v>
      </c>
      <c r="J496" s="50" t="str">
        <f t="shared" si="1012"/>
        <v>LT 2</v>
      </c>
      <c r="K496" s="84">
        <f>HDTL31052!Q36</f>
        <v>1416.2</v>
      </c>
      <c r="L496" s="84">
        <f>HDTL31052!P36</f>
        <v>1454.9</v>
      </c>
      <c r="M496" s="84">
        <f t="shared" si="976"/>
        <v>1</v>
      </c>
      <c r="N496" s="84">
        <f t="shared" ref="N496:N497" si="1013">(L496-K496)*M496</f>
        <v>38.700000000000045</v>
      </c>
      <c r="O496" s="84">
        <f>HDTL31052!F36</f>
        <v>137.1</v>
      </c>
      <c r="P496" s="84">
        <f>HDTL31052!E36</f>
        <v>142.9</v>
      </c>
      <c r="Q496" s="84">
        <f t="shared" si="977"/>
        <v>1</v>
      </c>
      <c r="R496" s="84">
        <f t="shared" ref="R496:R497" si="1014">(P496-O496)*Q496</f>
        <v>5.8000000000000114</v>
      </c>
      <c r="S496" s="84">
        <f>HDTL31052!K36</f>
        <v>922.3</v>
      </c>
      <c r="T496" s="84">
        <f>HDTL31052!J36</f>
        <v>958.2</v>
      </c>
      <c r="U496" s="84">
        <f t="shared" si="978"/>
        <v>1</v>
      </c>
      <c r="V496" s="84">
        <f t="shared" ref="V496:V497" si="1015">(T496-S496)*U496</f>
        <v>35.900000000000091</v>
      </c>
      <c r="W496" s="84">
        <f>HDTL31052!U36</f>
        <v>0.17</v>
      </c>
      <c r="X496" s="84">
        <f>HDTL31052!V36</f>
        <v>0.9</v>
      </c>
      <c r="Y496" s="85">
        <f t="shared" ref="Y496:Y498" si="1016">N496/30/I496</f>
        <v>1.2900000000000016</v>
      </c>
      <c r="Z496" s="84"/>
      <c r="AA496" s="82"/>
    </row>
    <row r="497" spans="1:27" s="40" customFormat="1" ht="39.950000000000003" hidden="1" customHeight="1" x14ac:dyDescent="0.25">
      <c r="A497" s="49">
        <v>29</v>
      </c>
      <c r="B497" s="50" t="str">
        <f t="shared" ref="B497:J497" si="1017">B496</f>
        <v>H D Kote</v>
      </c>
      <c r="C497" s="50" t="str">
        <f t="shared" si="1017"/>
        <v>HDKOTE/1714</v>
      </c>
      <c r="D497" s="50" t="str">
        <f t="shared" si="1017"/>
        <v>HEAD MASTER G.L.P.S</v>
      </c>
      <c r="E497" s="50" t="str">
        <f t="shared" si="1017"/>
        <v>HDTL31052</v>
      </c>
      <c r="F497" s="50">
        <f t="shared" si="1017"/>
        <v>0.24</v>
      </c>
      <c r="G497" s="50" t="str">
        <f t="shared" si="1017"/>
        <v>GOVT</v>
      </c>
      <c r="H497" s="50" t="str">
        <f t="shared" si="1017"/>
        <v>IPDS</v>
      </c>
      <c r="I497" s="50">
        <f t="shared" si="1017"/>
        <v>1</v>
      </c>
      <c r="J497" s="50" t="str">
        <f t="shared" si="1017"/>
        <v>LT 2</v>
      </c>
      <c r="K497" s="84">
        <f>HDTL31052!Q37</f>
        <v>1454.9</v>
      </c>
      <c r="L497" s="84">
        <f>HDTL31052!P37</f>
        <v>1505.3</v>
      </c>
      <c r="M497" s="84">
        <f t="shared" si="976"/>
        <v>1</v>
      </c>
      <c r="N497" s="84">
        <f t="shared" si="1013"/>
        <v>50.399999999999864</v>
      </c>
      <c r="O497" s="84">
        <f>HDTL31052!F37</f>
        <v>142.9</v>
      </c>
      <c r="P497" s="84">
        <f>HDTL31052!E37</f>
        <v>145.69999999999999</v>
      </c>
      <c r="Q497" s="84">
        <f t="shared" si="977"/>
        <v>1</v>
      </c>
      <c r="R497" s="84">
        <f t="shared" si="1014"/>
        <v>2.7999999999999829</v>
      </c>
      <c r="S497" s="84">
        <f>HDTL31052!K37</f>
        <v>958.2</v>
      </c>
      <c r="T497" s="84">
        <f>HDTL31052!J37</f>
        <v>1008</v>
      </c>
      <c r="U497" s="84">
        <f t="shared" si="978"/>
        <v>1</v>
      </c>
      <c r="V497" s="84">
        <f t="shared" si="1015"/>
        <v>49.799999999999955</v>
      </c>
      <c r="W497" s="84">
        <f>HDTL31052!U37</f>
        <v>0.18</v>
      </c>
      <c r="X497" s="84">
        <f>HDTL31052!V37</f>
        <v>0.99</v>
      </c>
      <c r="Y497" s="85">
        <f t="shared" si="1016"/>
        <v>1.6799999999999955</v>
      </c>
      <c r="Z497" s="84"/>
      <c r="AA497" s="82"/>
    </row>
    <row r="498" spans="1:27" s="40" customFormat="1" ht="39.950000000000003" customHeight="1" x14ac:dyDescent="0.25">
      <c r="A498" s="49">
        <v>30</v>
      </c>
      <c r="B498" s="50" t="str">
        <f t="shared" si="1012"/>
        <v>H D Kote</v>
      </c>
      <c r="C498" s="50" t="str">
        <f t="shared" si="1012"/>
        <v>HDKOTE/1714</v>
      </c>
      <c r="D498" s="50" t="str">
        <f t="shared" si="1012"/>
        <v>HEAD MASTER G.L.P.S</v>
      </c>
      <c r="E498" s="50" t="str">
        <f t="shared" si="1012"/>
        <v>HDTL31052</v>
      </c>
      <c r="F498" s="50">
        <f t="shared" si="1012"/>
        <v>0.24</v>
      </c>
      <c r="G498" s="50" t="str">
        <f t="shared" si="1012"/>
        <v>GOVT</v>
      </c>
      <c r="H498" s="50" t="str">
        <f t="shared" si="1012"/>
        <v>IPDS</v>
      </c>
      <c r="I498" s="50">
        <f t="shared" si="1012"/>
        <v>1</v>
      </c>
      <c r="J498" s="50" t="str">
        <f t="shared" si="1012"/>
        <v>LT 2</v>
      </c>
      <c r="K498" s="84">
        <f>HDTL31052!Q38</f>
        <v>1505.3</v>
      </c>
      <c r="L498" s="84">
        <f>HDTL31052!P38</f>
        <v>1555.1</v>
      </c>
      <c r="M498" s="84">
        <f t="shared" si="976"/>
        <v>1</v>
      </c>
      <c r="N498" s="84">
        <f t="shared" ref="N498" si="1018">(L498-K498)*M498</f>
        <v>49.799999999999955</v>
      </c>
      <c r="O498" s="84">
        <f>HDTL31052!F38</f>
        <v>145.69999999999999</v>
      </c>
      <c r="P498" s="84">
        <f>HDTL31052!E38</f>
        <v>149.1</v>
      </c>
      <c r="Q498" s="84">
        <f t="shared" si="977"/>
        <v>1</v>
      </c>
      <c r="R498" s="84">
        <f t="shared" ref="R498" si="1019">(P498-O498)*Q498</f>
        <v>3.4000000000000057</v>
      </c>
      <c r="S498" s="84">
        <f>HDTL31052!K38</f>
        <v>1008</v>
      </c>
      <c r="T498" s="84">
        <f>HDTL31052!J38</f>
        <v>1045.8</v>
      </c>
      <c r="U498" s="84">
        <f t="shared" si="978"/>
        <v>1</v>
      </c>
      <c r="V498" s="84">
        <f t="shared" ref="V498" si="1020">(T498-S498)*U498</f>
        <v>37.799999999999955</v>
      </c>
      <c r="W498" s="84">
        <f>HDTL31052!U38</f>
        <v>0.18</v>
      </c>
      <c r="X498" s="84">
        <f>HDTL31052!V38</f>
        <v>0.99</v>
      </c>
      <c r="Y498" s="85">
        <f t="shared" si="1016"/>
        <v>1.6599999999999986</v>
      </c>
      <c r="Z498" s="84"/>
      <c r="AA498" s="82"/>
    </row>
    <row r="499" spans="1:27" s="40" customFormat="1" ht="39.950000000000003" hidden="1" customHeight="1" x14ac:dyDescent="0.25">
      <c r="A499" s="49"/>
      <c r="B499" s="50"/>
      <c r="C499" s="50"/>
      <c r="D499" s="50"/>
      <c r="E499" s="50"/>
      <c r="F499" s="50"/>
      <c r="G499" s="50"/>
      <c r="H499" s="50"/>
      <c r="I499" s="50"/>
      <c r="J499" s="50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5"/>
      <c r="Z499" s="84"/>
      <c r="AA499" s="82"/>
    </row>
    <row r="500" spans="1:27" s="40" customFormat="1" ht="39.950000000000003" hidden="1" customHeight="1" x14ac:dyDescent="0.25">
      <c r="A500" s="49"/>
      <c r="B500" s="50"/>
      <c r="C500" s="50"/>
      <c r="D500" s="50"/>
      <c r="E500" s="50"/>
      <c r="F500" s="50"/>
      <c r="G500" s="50"/>
      <c r="H500" s="50"/>
      <c r="I500" s="50"/>
      <c r="J500" s="50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5"/>
      <c r="Z500" s="84"/>
      <c r="AA500" s="82"/>
    </row>
    <row r="501" spans="1:27" s="40" customFormat="1" ht="39.950000000000003" hidden="1" customHeight="1" x14ac:dyDescent="0.25">
      <c r="A501" s="49">
        <v>1</v>
      </c>
      <c r="B501" s="49" t="s">
        <v>83</v>
      </c>
      <c r="C501" s="57" t="s">
        <v>226</v>
      </c>
      <c r="D501" s="59" t="s">
        <v>227</v>
      </c>
      <c r="E501" s="55" t="s">
        <v>228</v>
      </c>
      <c r="F501" s="50">
        <v>1</v>
      </c>
      <c r="G501" s="49" t="s">
        <v>221</v>
      </c>
      <c r="H501" s="64" t="s">
        <v>239</v>
      </c>
      <c r="I501" s="49">
        <v>5</v>
      </c>
      <c r="J501" s="49" t="s">
        <v>87</v>
      </c>
      <c r="K501" s="84">
        <f>'MHQ06'!Q37</f>
        <v>5344.9</v>
      </c>
      <c r="L501" s="84">
        <f>'MHQ06'!P37</f>
        <v>5692.2</v>
      </c>
      <c r="M501" s="84">
        <f>'[1]April-18'!M29</f>
        <v>1</v>
      </c>
      <c r="N501" s="84">
        <f t="shared" si="0"/>
        <v>347.30000000000018</v>
      </c>
      <c r="O501" s="84">
        <f>'MHQ06'!F37</f>
        <v>674.8</v>
      </c>
      <c r="P501" s="84">
        <f>'MHQ06'!E37</f>
        <v>686.9</v>
      </c>
      <c r="Q501" s="84">
        <v>1</v>
      </c>
      <c r="R501" s="84">
        <f t="shared" si="683"/>
        <v>12.100000000000023</v>
      </c>
      <c r="S501" s="84">
        <f>'MHQ06'!K37</f>
        <v>4786.2</v>
      </c>
      <c r="T501" s="84">
        <f>'MHQ06'!J37</f>
        <v>5095.8</v>
      </c>
      <c r="U501" s="84">
        <f>'[1]April-18'!U29</f>
        <v>1</v>
      </c>
      <c r="V501" s="84">
        <f t="shared" si="684"/>
        <v>309.60000000000036</v>
      </c>
      <c r="W501" s="84"/>
      <c r="X501" s="84"/>
      <c r="Y501" s="85">
        <f t="shared" si="917"/>
        <v>2.3153333333333346</v>
      </c>
      <c r="Z501" s="84"/>
      <c r="AA501" s="82" t="str">
        <f>'MHQ06'!B37</f>
        <v>01.08.2019</v>
      </c>
    </row>
    <row r="502" spans="1:27" s="40" customFormat="1" ht="39.950000000000003" hidden="1" customHeight="1" x14ac:dyDescent="0.25">
      <c r="A502" s="49">
        <v>2</v>
      </c>
      <c r="B502" s="49" t="str">
        <f>B501</f>
        <v>Hampapura</v>
      </c>
      <c r="C502" s="49" t="str">
        <f t="shared" ref="C502:I503" si="1021">C501</f>
        <v>Hommaragalli /1741</v>
      </c>
      <c r="D502" s="49" t="str">
        <f t="shared" si="1021"/>
        <v>Section Office</v>
      </c>
      <c r="E502" s="49" t="str">
        <f t="shared" si="1021"/>
        <v>MHQ-06</v>
      </c>
      <c r="F502" s="49">
        <f t="shared" si="1021"/>
        <v>1</v>
      </c>
      <c r="G502" s="49" t="str">
        <f t="shared" si="1021"/>
        <v>GOVT</v>
      </c>
      <c r="H502" s="49" t="str">
        <f t="shared" si="1021"/>
        <v>NON IPDS</v>
      </c>
      <c r="I502" s="49">
        <f t="shared" si="1021"/>
        <v>5</v>
      </c>
      <c r="J502" s="49" t="str">
        <f>J501</f>
        <v>LT3(II)</v>
      </c>
      <c r="K502" s="84">
        <f>'MHQ06'!Q38</f>
        <v>5692.2</v>
      </c>
      <c r="L502" s="84">
        <f>'MHQ06'!P38</f>
        <v>5984.5</v>
      </c>
      <c r="M502" s="84">
        <f>'[1]April-18'!M30</f>
        <v>1</v>
      </c>
      <c r="N502" s="84">
        <f t="shared" si="0"/>
        <v>292.30000000000018</v>
      </c>
      <c r="O502" s="84">
        <f>'MHQ06'!F38</f>
        <v>686.9</v>
      </c>
      <c r="P502" s="84">
        <f>'MHQ06'!E38</f>
        <v>704.6</v>
      </c>
      <c r="Q502" s="84">
        <f>Q501</f>
        <v>1</v>
      </c>
      <c r="R502" s="84">
        <f t="shared" si="683"/>
        <v>17.700000000000045</v>
      </c>
      <c r="S502" s="84">
        <f>'MHQ06'!K38</f>
        <v>5095.8</v>
      </c>
      <c r="T502" s="84">
        <f>'MHQ06'!J38</f>
        <v>5351.5</v>
      </c>
      <c r="U502" s="84">
        <f>'[1]April-18'!U30</f>
        <v>1</v>
      </c>
      <c r="V502" s="84">
        <f t="shared" si="684"/>
        <v>255.69999999999982</v>
      </c>
      <c r="W502" s="84"/>
      <c r="X502" s="84"/>
      <c r="Y502" s="85">
        <f t="shared" si="917"/>
        <v>1.9486666666666679</v>
      </c>
      <c r="Z502" s="84"/>
      <c r="AA502" s="82" t="str">
        <f>'MHQ06'!B38</f>
        <v>01.09.2019</v>
      </c>
    </row>
    <row r="503" spans="1:27" s="40" customFormat="1" ht="39.950000000000003" hidden="1" customHeight="1" x14ac:dyDescent="0.25">
      <c r="A503" s="49">
        <v>3</v>
      </c>
      <c r="B503" s="49" t="str">
        <f>B502</f>
        <v>Hampapura</v>
      </c>
      <c r="C503" s="49" t="str">
        <f t="shared" si="1021"/>
        <v>Hommaragalli /1741</v>
      </c>
      <c r="D503" s="49" t="str">
        <f t="shared" si="1021"/>
        <v>Section Office</v>
      </c>
      <c r="E503" s="49" t="str">
        <f t="shared" si="1021"/>
        <v>MHQ-06</v>
      </c>
      <c r="F503" s="49">
        <f t="shared" si="1021"/>
        <v>1</v>
      </c>
      <c r="G503" s="49" t="str">
        <f t="shared" si="1021"/>
        <v>GOVT</v>
      </c>
      <c r="H503" s="49" t="str">
        <f t="shared" si="1021"/>
        <v>NON IPDS</v>
      </c>
      <c r="I503" s="49">
        <f t="shared" si="1021"/>
        <v>5</v>
      </c>
      <c r="J503" s="49" t="str">
        <f>J502</f>
        <v>LT3(II)</v>
      </c>
      <c r="K503" s="84">
        <f>'MHQ06'!Q39</f>
        <v>5984.5</v>
      </c>
      <c r="L503" s="84">
        <f>'MHQ06'!P39</f>
        <v>6279.5</v>
      </c>
      <c r="M503" s="84">
        <f>'[1]April-18'!M31</f>
        <v>1</v>
      </c>
      <c r="N503" s="84">
        <f t="shared" si="0"/>
        <v>295</v>
      </c>
      <c r="O503" s="84">
        <f>'MHQ06'!F39</f>
        <v>0</v>
      </c>
      <c r="P503" s="224" t="str">
        <f>'MHQ06'!E39</f>
        <v>METER BURNT</v>
      </c>
      <c r="Q503" s="225"/>
      <c r="R503" s="225"/>
      <c r="S503" s="225"/>
      <c r="T503" s="225"/>
      <c r="U503" s="225"/>
      <c r="V503" s="226"/>
      <c r="W503" s="101"/>
      <c r="X503" s="101"/>
      <c r="Y503" s="85">
        <f t="shared" si="917"/>
        <v>1.9666666666666668</v>
      </c>
      <c r="Z503" s="84"/>
      <c r="AA503" s="82" t="str">
        <f>'MHQ06'!B39</f>
        <v>01.10.2019</v>
      </c>
    </row>
    <row r="504" spans="1:27" s="40" customFormat="1" ht="39.950000000000003" hidden="1" customHeight="1" x14ac:dyDescent="0.25">
      <c r="A504" s="49">
        <v>4</v>
      </c>
      <c r="B504" s="49" t="str">
        <f t="shared" ref="B504:J507" si="1022">B503</f>
        <v>Hampapura</v>
      </c>
      <c r="C504" s="49" t="str">
        <f t="shared" si="1022"/>
        <v>Hommaragalli /1741</v>
      </c>
      <c r="D504" s="49" t="str">
        <f t="shared" si="1022"/>
        <v>Section Office</v>
      </c>
      <c r="E504" s="49" t="str">
        <f t="shared" si="1022"/>
        <v>MHQ-06</v>
      </c>
      <c r="F504" s="49">
        <f t="shared" si="1022"/>
        <v>1</v>
      </c>
      <c r="G504" s="49" t="str">
        <f t="shared" si="1022"/>
        <v>GOVT</v>
      </c>
      <c r="H504" s="49" t="str">
        <f t="shared" si="1022"/>
        <v>NON IPDS</v>
      </c>
      <c r="I504" s="49">
        <f t="shared" si="1022"/>
        <v>5</v>
      </c>
      <c r="J504" s="49" t="str">
        <f t="shared" si="1022"/>
        <v>LT3(II)</v>
      </c>
      <c r="K504" s="84">
        <f>'MHQ06'!Q40</f>
        <v>6279.5</v>
      </c>
      <c r="L504" s="84">
        <f>'MHQ06'!P40</f>
        <v>6658.6</v>
      </c>
      <c r="M504" s="84">
        <f>'[1]April-18'!M32</f>
        <v>1</v>
      </c>
      <c r="N504" s="84">
        <f t="shared" si="0"/>
        <v>379.10000000000036</v>
      </c>
      <c r="O504" s="84">
        <f>'MHQ06'!F40</f>
        <v>0</v>
      </c>
      <c r="P504" s="224" t="str">
        <f>'MHQ06'!E40</f>
        <v>METER BURNT</v>
      </c>
      <c r="Q504" s="225"/>
      <c r="R504" s="225"/>
      <c r="S504" s="225"/>
      <c r="T504" s="225"/>
      <c r="U504" s="225"/>
      <c r="V504" s="226"/>
      <c r="W504" s="101"/>
      <c r="X504" s="101"/>
      <c r="Y504" s="85">
        <f t="shared" si="917"/>
        <v>2.5273333333333357</v>
      </c>
      <c r="Z504" s="84"/>
      <c r="AA504" s="82" t="str">
        <f>'MHQ06'!B40</f>
        <v>01.11.2019</v>
      </c>
    </row>
    <row r="505" spans="1:27" s="40" customFormat="1" ht="39.950000000000003" hidden="1" customHeight="1" x14ac:dyDescent="0.25">
      <c r="A505" s="49">
        <v>5</v>
      </c>
      <c r="B505" s="49" t="str">
        <f t="shared" si="1022"/>
        <v>Hampapura</v>
      </c>
      <c r="C505" s="49" t="str">
        <f t="shared" si="1022"/>
        <v>Hommaragalli /1741</v>
      </c>
      <c r="D505" s="49" t="str">
        <f t="shared" si="1022"/>
        <v>Section Office</v>
      </c>
      <c r="E505" s="49" t="str">
        <f t="shared" si="1022"/>
        <v>MHQ-06</v>
      </c>
      <c r="F505" s="49">
        <f t="shared" si="1022"/>
        <v>1</v>
      </c>
      <c r="G505" s="49" t="str">
        <f t="shared" si="1022"/>
        <v>GOVT</v>
      </c>
      <c r="H505" s="49" t="str">
        <f t="shared" si="1022"/>
        <v>NON IPDS</v>
      </c>
      <c r="I505" s="49">
        <f t="shared" si="1022"/>
        <v>5</v>
      </c>
      <c r="J505" s="49" t="str">
        <f t="shared" si="1022"/>
        <v>LT3(II)</v>
      </c>
      <c r="K505" s="84">
        <f>'MHQ06'!Q41</f>
        <v>6658.6</v>
      </c>
      <c r="L505" s="84">
        <f>'MHQ06'!P41</f>
        <v>6758.6</v>
      </c>
      <c r="M505" s="84">
        <v>1</v>
      </c>
      <c r="N505" s="84">
        <f t="shared" si="0"/>
        <v>100</v>
      </c>
      <c r="O505" s="84">
        <f>'MHQ06'!F41</f>
        <v>0</v>
      </c>
      <c r="P505" s="224" t="str">
        <f>'MHQ06'!E41</f>
        <v>METER BURNT</v>
      </c>
      <c r="Q505" s="225"/>
      <c r="R505" s="225"/>
      <c r="S505" s="225"/>
      <c r="T505" s="225"/>
      <c r="U505" s="225"/>
      <c r="V505" s="226"/>
      <c r="W505" s="101"/>
      <c r="X505" s="101"/>
      <c r="Y505" s="85">
        <f t="shared" si="917"/>
        <v>0.66666666666666674</v>
      </c>
      <c r="Z505" s="86" t="s">
        <v>250</v>
      </c>
      <c r="AA505" s="82" t="str">
        <f>'MHQ06'!B41</f>
        <v>01.12.2019</v>
      </c>
    </row>
    <row r="506" spans="1:27" s="40" customFormat="1" ht="39.950000000000003" hidden="1" customHeight="1" x14ac:dyDescent="0.25">
      <c r="A506" s="49">
        <v>6</v>
      </c>
      <c r="B506" s="49" t="str">
        <f t="shared" si="1022"/>
        <v>Hampapura</v>
      </c>
      <c r="C506" s="49" t="str">
        <f t="shared" si="1022"/>
        <v>Hommaragalli /1741</v>
      </c>
      <c r="D506" s="49" t="str">
        <f t="shared" si="1022"/>
        <v>Section Office</v>
      </c>
      <c r="E506" s="49" t="str">
        <f t="shared" si="1022"/>
        <v>MHQ-06</v>
      </c>
      <c r="F506" s="49">
        <f t="shared" si="1022"/>
        <v>1</v>
      </c>
      <c r="G506" s="49" t="str">
        <f t="shared" si="1022"/>
        <v>GOVT</v>
      </c>
      <c r="H506" s="49" t="str">
        <f t="shared" si="1022"/>
        <v>NON IPDS</v>
      </c>
      <c r="I506" s="49">
        <f t="shared" si="1022"/>
        <v>5</v>
      </c>
      <c r="J506" s="49" t="str">
        <f t="shared" si="1022"/>
        <v>LT3(II)</v>
      </c>
      <c r="K506" s="84">
        <f>'MHQ06'!Q42</f>
        <v>6758.6</v>
      </c>
      <c r="L506" s="84">
        <f>'MHQ06'!P42</f>
        <v>7094</v>
      </c>
      <c r="M506" s="84">
        <f>M505</f>
        <v>1</v>
      </c>
      <c r="N506" s="84">
        <f t="shared" si="0"/>
        <v>335.39999999999964</v>
      </c>
      <c r="O506" s="84">
        <f>'MHQ06'!F42</f>
        <v>0</v>
      </c>
      <c r="P506" s="224" t="str">
        <f>'MHQ06'!E42</f>
        <v>METER BURNT</v>
      </c>
      <c r="Q506" s="225"/>
      <c r="R506" s="225"/>
      <c r="S506" s="225"/>
      <c r="T506" s="225"/>
      <c r="U506" s="225"/>
      <c r="V506" s="226"/>
      <c r="W506" s="101"/>
      <c r="X506" s="101"/>
      <c r="Y506" s="85">
        <f t="shared" si="917"/>
        <v>2.2359999999999975</v>
      </c>
      <c r="Z506" s="86"/>
      <c r="AA506" s="82" t="str">
        <f>'MHQ06'!B42</f>
        <v>01.01.2020</v>
      </c>
    </row>
    <row r="507" spans="1:27" s="40" customFormat="1" ht="39.950000000000003" hidden="1" customHeight="1" x14ac:dyDescent="0.25">
      <c r="A507" s="49">
        <v>7</v>
      </c>
      <c r="B507" s="49" t="str">
        <f t="shared" si="1022"/>
        <v>Hampapura</v>
      </c>
      <c r="C507" s="49" t="str">
        <f t="shared" si="1022"/>
        <v>Hommaragalli /1741</v>
      </c>
      <c r="D507" s="49" t="str">
        <f t="shared" si="1022"/>
        <v>Section Office</v>
      </c>
      <c r="E507" s="49" t="str">
        <f t="shared" si="1022"/>
        <v>MHQ-06</v>
      </c>
      <c r="F507" s="49">
        <f t="shared" si="1022"/>
        <v>1</v>
      </c>
      <c r="G507" s="49" t="str">
        <f t="shared" si="1022"/>
        <v>GOVT</v>
      </c>
      <c r="H507" s="49" t="str">
        <f t="shared" si="1022"/>
        <v>NON IPDS</v>
      </c>
      <c r="I507" s="49">
        <f t="shared" si="1022"/>
        <v>5</v>
      </c>
      <c r="J507" s="49" t="str">
        <f t="shared" si="1022"/>
        <v>LT3(II)</v>
      </c>
      <c r="K507" s="84">
        <f>'MHQ06'!Q43</f>
        <v>7094</v>
      </c>
      <c r="L507" s="84">
        <f>'MHQ06'!P43</f>
        <v>7563.1</v>
      </c>
      <c r="M507" s="84">
        <f>M506</f>
        <v>1</v>
      </c>
      <c r="N507" s="84">
        <f t="shared" si="0"/>
        <v>469.10000000000036</v>
      </c>
      <c r="O507" s="84">
        <f>'MHQ06'!F43</f>
        <v>0</v>
      </c>
      <c r="P507" s="84">
        <f>'MHQ06'!E43</f>
        <v>53.1</v>
      </c>
      <c r="Q507" s="84">
        <f t="shared" ref="Q507:Q533" si="1023">Q502</f>
        <v>1</v>
      </c>
      <c r="R507" s="84">
        <f t="shared" ref="R507" si="1024">(P507-O507)*Q507</f>
        <v>53.1</v>
      </c>
      <c r="S507" s="84">
        <f>'MHQ06'!K43</f>
        <v>0</v>
      </c>
      <c r="T507" s="84">
        <f>'MHQ06'!J43</f>
        <v>475</v>
      </c>
      <c r="U507" s="84">
        <f>'[1]April-18'!U35</f>
        <v>1</v>
      </c>
      <c r="V507" s="84">
        <f t="shared" ref="V507" si="1025">(T507-S507)*U507</f>
        <v>475</v>
      </c>
      <c r="W507" s="84"/>
      <c r="X507" s="84"/>
      <c r="Y507" s="85">
        <f t="shared" si="917"/>
        <v>3.1273333333333357</v>
      </c>
      <c r="Z507" s="86"/>
      <c r="AA507" s="82" t="s">
        <v>253</v>
      </c>
    </row>
    <row r="508" spans="1:27" s="40" customFormat="1" ht="39.950000000000003" hidden="1" customHeight="1" x14ac:dyDescent="0.25">
      <c r="A508" s="49">
        <v>8</v>
      </c>
      <c r="B508" s="49" t="str">
        <f t="shared" ref="B508:J508" si="1026">B507</f>
        <v>Hampapura</v>
      </c>
      <c r="C508" s="49" t="str">
        <f t="shared" si="1026"/>
        <v>Hommaragalli /1741</v>
      </c>
      <c r="D508" s="49" t="str">
        <f t="shared" si="1026"/>
        <v>Section Office</v>
      </c>
      <c r="E508" s="49" t="str">
        <f t="shared" si="1026"/>
        <v>MHQ-06</v>
      </c>
      <c r="F508" s="49">
        <f t="shared" si="1026"/>
        <v>1</v>
      </c>
      <c r="G508" s="49" t="str">
        <f t="shared" si="1026"/>
        <v>GOVT</v>
      </c>
      <c r="H508" s="49" t="str">
        <f t="shared" si="1026"/>
        <v>NON IPDS</v>
      </c>
      <c r="I508" s="49">
        <f t="shared" si="1026"/>
        <v>5</v>
      </c>
      <c r="J508" s="49" t="str">
        <f t="shared" si="1026"/>
        <v>LT3(II)</v>
      </c>
      <c r="K508" s="84">
        <f>'MHQ06'!Q44</f>
        <v>7563.1</v>
      </c>
      <c r="L508" s="84">
        <f>'MHQ06'!P44</f>
        <v>7989.6</v>
      </c>
      <c r="M508" s="84">
        <f t="shared" ref="M508:M533" si="1027">M507</f>
        <v>1</v>
      </c>
      <c r="N508" s="84">
        <f t="shared" ref="N508:N513" si="1028">(L508-K508)*M508</f>
        <v>426.5</v>
      </c>
      <c r="O508" s="84">
        <f>'MHQ06'!F44</f>
        <v>53.1</v>
      </c>
      <c r="P508" s="84">
        <f>'MHQ06'!E44</f>
        <v>82.2</v>
      </c>
      <c r="Q508" s="84">
        <f t="shared" si="1023"/>
        <v>0</v>
      </c>
      <c r="R508" s="84">
        <f t="shared" ref="R508" si="1029">(P508-O508)*Q508</f>
        <v>0</v>
      </c>
      <c r="S508" s="84">
        <f>'MHQ06'!K44</f>
        <v>475</v>
      </c>
      <c r="T508" s="84">
        <f>'MHQ06'!J44</f>
        <v>872</v>
      </c>
      <c r="U508" s="84">
        <f>'[1]April-18'!U36</f>
        <v>1</v>
      </c>
      <c r="V508" s="84">
        <f t="shared" ref="V508" si="1030">(T508-S508)*U508</f>
        <v>397</v>
      </c>
      <c r="W508" s="84"/>
      <c r="X508" s="84"/>
      <c r="Y508" s="85">
        <f t="shared" ref="Y508:Y513" si="1031">N508/30/I508</f>
        <v>2.8433333333333333</v>
      </c>
      <c r="Z508" s="86"/>
      <c r="AA508" s="82" t="s">
        <v>254</v>
      </c>
    </row>
    <row r="509" spans="1:27" s="40" customFormat="1" ht="39.950000000000003" hidden="1" customHeight="1" x14ac:dyDescent="0.25">
      <c r="A509" s="49">
        <v>9</v>
      </c>
      <c r="B509" s="49" t="str">
        <f t="shared" ref="B509:J509" si="1032">B508</f>
        <v>Hampapura</v>
      </c>
      <c r="C509" s="49" t="str">
        <f t="shared" si="1032"/>
        <v>Hommaragalli /1741</v>
      </c>
      <c r="D509" s="49" t="str">
        <f t="shared" si="1032"/>
        <v>Section Office</v>
      </c>
      <c r="E509" s="49" t="str">
        <f t="shared" si="1032"/>
        <v>MHQ-06</v>
      </c>
      <c r="F509" s="49">
        <f t="shared" si="1032"/>
        <v>1</v>
      </c>
      <c r="G509" s="49" t="str">
        <f t="shared" si="1032"/>
        <v>GOVT</v>
      </c>
      <c r="H509" s="49" t="str">
        <f t="shared" si="1032"/>
        <v>NON IPDS</v>
      </c>
      <c r="I509" s="49">
        <f t="shared" si="1032"/>
        <v>5</v>
      </c>
      <c r="J509" s="49" t="str">
        <f t="shared" si="1032"/>
        <v>LT3(II)</v>
      </c>
      <c r="K509" s="84">
        <f>'MHQ06'!Q45</f>
        <v>7989.6</v>
      </c>
      <c r="L509" s="84">
        <f>'MHQ06'!P45</f>
        <v>8455.6</v>
      </c>
      <c r="M509" s="84">
        <f t="shared" si="1027"/>
        <v>1</v>
      </c>
      <c r="N509" s="84">
        <f t="shared" si="1028"/>
        <v>466</v>
      </c>
      <c r="O509" s="84">
        <f>'MHQ06'!F45</f>
        <v>82.2</v>
      </c>
      <c r="P509" s="84">
        <f>'MHQ06'!E45</f>
        <v>107.2</v>
      </c>
      <c r="Q509" s="84">
        <f t="shared" si="1023"/>
        <v>0</v>
      </c>
      <c r="R509" s="84">
        <f t="shared" ref="R509" si="1033">(P509-O509)*Q509</f>
        <v>0</v>
      </c>
      <c r="S509" s="84">
        <f>'MHQ06'!K45</f>
        <v>872</v>
      </c>
      <c r="T509" s="84">
        <f>'MHQ06'!J45</f>
        <v>1288</v>
      </c>
      <c r="U509" s="84">
        <f>U508</f>
        <v>1</v>
      </c>
      <c r="V509" s="84">
        <f t="shared" ref="V509" si="1034">(T509-S509)*U509</f>
        <v>416</v>
      </c>
      <c r="W509" s="84"/>
      <c r="X509" s="84"/>
      <c r="Y509" s="85">
        <f t="shared" si="1031"/>
        <v>3.1066666666666665</v>
      </c>
      <c r="Z509" s="86"/>
      <c r="AA509" s="82" t="s">
        <v>258</v>
      </c>
    </row>
    <row r="510" spans="1:27" s="40" customFormat="1" ht="39.950000000000003" hidden="1" customHeight="1" x14ac:dyDescent="0.25">
      <c r="A510" s="49">
        <v>10</v>
      </c>
      <c r="B510" s="49" t="str">
        <f t="shared" ref="B510:J510" si="1035">B509</f>
        <v>Hampapura</v>
      </c>
      <c r="C510" s="49" t="str">
        <f t="shared" si="1035"/>
        <v>Hommaragalli /1741</v>
      </c>
      <c r="D510" s="49" t="str">
        <f t="shared" si="1035"/>
        <v>Section Office</v>
      </c>
      <c r="E510" s="49" t="str">
        <f t="shared" si="1035"/>
        <v>MHQ-06</v>
      </c>
      <c r="F510" s="49">
        <f t="shared" si="1035"/>
        <v>1</v>
      </c>
      <c r="G510" s="49" t="str">
        <f t="shared" si="1035"/>
        <v>GOVT</v>
      </c>
      <c r="H510" s="49" t="str">
        <f t="shared" si="1035"/>
        <v>NON IPDS</v>
      </c>
      <c r="I510" s="49">
        <f t="shared" si="1035"/>
        <v>5</v>
      </c>
      <c r="J510" s="49" t="str">
        <f t="shared" si="1035"/>
        <v>LT3(II)</v>
      </c>
      <c r="K510" s="84">
        <f>'MHQ06'!Q46</f>
        <v>0</v>
      </c>
      <c r="L510" s="84">
        <f>'MHQ06'!P46</f>
        <v>0</v>
      </c>
      <c r="M510" s="84">
        <f t="shared" si="1027"/>
        <v>1</v>
      </c>
      <c r="N510" s="84">
        <f t="shared" si="1028"/>
        <v>0</v>
      </c>
      <c r="O510" s="84">
        <f>'MHQ06'!F46</f>
        <v>0</v>
      </c>
      <c r="P510" s="84">
        <f>'MHQ06'!E46</f>
        <v>0</v>
      </c>
      <c r="Q510" s="84">
        <f t="shared" si="1023"/>
        <v>0</v>
      </c>
      <c r="R510" s="84">
        <f t="shared" ref="R510" si="1036">(P510-O510)*Q510</f>
        <v>0</v>
      </c>
      <c r="S510" s="84">
        <f>'MHQ06'!K46</f>
        <v>0</v>
      </c>
      <c r="T510" s="84">
        <f>'MHQ06'!J46</f>
        <v>0</v>
      </c>
      <c r="U510" s="84">
        <f>U509</f>
        <v>1</v>
      </c>
      <c r="V510" s="84">
        <f t="shared" ref="V510" si="1037">(T510-S510)*U510</f>
        <v>0</v>
      </c>
      <c r="W510" s="84"/>
      <c r="X510" s="84"/>
      <c r="Y510" s="85">
        <f t="shared" si="1031"/>
        <v>0</v>
      </c>
      <c r="Z510" s="86"/>
      <c r="AA510" s="82"/>
    </row>
    <row r="511" spans="1:27" s="40" customFormat="1" ht="39.950000000000003" hidden="1" customHeight="1" x14ac:dyDescent="0.25">
      <c r="A511" s="49">
        <v>11</v>
      </c>
      <c r="B511" s="49" t="str">
        <f t="shared" ref="B511:J511" si="1038">B510</f>
        <v>Hampapura</v>
      </c>
      <c r="C511" s="49" t="str">
        <f t="shared" si="1038"/>
        <v>Hommaragalli /1741</v>
      </c>
      <c r="D511" s="49" t="str">
        <f t="shared" si="1038"/>
        <v>Section Office</v>
      </c>
      <c r="E511" s="49" t="str">
        <f t="shared" si="1038"/>
        <v>MHQ-06</v>
      </c>
      <c r="F511" s="49">
        <f t="shared" si="1038"/>
        <v>1</v>
      </c>
      <c r="G511" s="49" t="str">
        <f t="shared" si="1038"/>
        <v>GOVT</v>
      </c>
      <c r="H511" s="49" t="str">
        <f t="shared" si="1038"/>
        <v>NON IPDS</v>
      </c>
      <c r="I511" s="49">
        <f t="shared" si="1038"/>
        <v>5</v>
      </c>
      <c r="J511" s="49" t="str">
        <f t="shared" si="1038"/>
        <v>LT3(II)</v>
      </c>
      <c r="K511" s="84">
        <f>'MHQ06'!Q47</f>
        <v>8455.6</v>
      </c>
      <c r="L511" s="84">
        <f>'MHQ06'!P47</f>
        <v>8940.2999999999993</v>
      </c>
      <c r="M511" s="84">
        <f t="shared" si="1027"/>
        <v>1</v>
      </c>
      <c r="N511" s="84">
        <f t="shared" si="1028"/>
        <v>484.69999999999891</v>
      </c>
      <c r="O511" s="84">
        <f>'MHQ06'!F47</f>
        <v>107.2</v>
      </c>
      <c r="P511" s="84">
        <f>'MHQ06'!E47</f>
        <v>154.6</v>
      </c>
      <c r="Q511" s="84">
        <f t="shared" si="1023"/>
        <v>0</v>
      </c>
      <c r="R511" s="84">
        <f t="shared" ref="R511" si="1039">(P511-O511)*Q511</f>
        <v>0</v>
      </c>
      <c r="S511" s="84">
        <f>'MHQ06'!K47</f>
        <v>1288</v>
      </c>
      <c r="T511" s="84">
        <f>'MHQ06'!J47</f>
        <v>1769.7</v>
      </c>
      <c r="U511" s="84">
        <f>U510</f>
        <v>1</v>
      </c>
      <c r="V511" s="84">
        <f t="shared" ref="V511" si="1040">(T511-S511)*U511</f>
        <v>481.70000000000005</v>
      </c>
      <c r="W511" s="84"/>
      <c r="X511" s="84"/>
      <c r="Y511" s="85">
        <f t="shared" si="1031"/>
        <v>3.2313333333333261</v>
      </c>
      <c r="Z511" s="86"/>
      <c r="AA511" s="82" t="s">
        <v>259</v>
      </c>
    </row>
    <row r="512" spans="1:27" s="40" customFormat="1" ht="39.950000000000003" hidden="1" customHeight="1" x14ac:dyDescent="0.25">
      <c r="A512" s="49">
        <v>12</v>
      </c>
      <c r="B512" s="49" t="str">
        <f t="shared" ref="B512:J512" si="1041">B511</f>
        <v>Hampapura</v>
      </c>
      <c r="C512" s="49" t="str">
        <f t="shared" si="1041"/>
        <v>Hommaragalli /1741</v>
      </c>
      <c r="D512" s="49" t="str">
        <f t="shared" si="1041"/>
        <v>Section Office</v>
      </c>
      <c r="E512" s="49" t="str">
        <f t="shared" si="1041"/>
        <v>MHQ-06</v>
      </c>
      <c r="F512" s="49">
        <f t="shared" si="1041"/>
        <v>1</v>
      </c>
      <c r="G512" s="49" t="str">
        <f t="shared" si="1041"/>
        <v>GOVT</v>
      </c>
      <c r="H512" s="49" t="str">
        <f t="shared" si="1041"/>
        <v>NON IPDS</v>
      </c>
      <c r="I512" s="49">
        <f t="shared" si="1041"/>
        <v>5</v>
      </c>
      <c r="J512" s="49" t="str">
        <f t="shared" si="1041"/>
        <v>LT3(II)</v>
      </c>
      <c r="K512" s="84">
        <f>'MHQ06'!Q48</f>
        <v>8940.2999999999993</v>
      </c>
      <c r="L512" s="84">
        <f>'MHQ06'!P48</f>
        <v>9288</v>
      </c>
      <c r="M512" s="84">
        <f t="shared" si="1027"/>
        <v>1</v>
      </c>
      <c r="N512" s="84">
        <f t="shared" si="1028"/>
        <v>347.70000000000073</v>
      </c>
      <c r="O512" s="84">
        <f>'MHQ06'!F48</f>
        <v>154.6</v>
      </c>
      <c r="P512" s="84">
        <f>'MHQ06'!E48</f>
        <v>176.1</v>
      </c>
      <c r="Q512" s="84">
        <f t="shared" si="1023"/>
        <v>1</v>
      </c>
      <c r="R512" s="84">
        <f t="shared" ref="R512" si="1042">(P512-O512)*Q512</f>
        <v>21.5</v>
      </c>
      <c r="S512" s="84">
        <f>'MHQ06'!K48</f>
        <v>1769.7</v>
      </c>
      <c r="T512" s="84">
        <f>'MHQ06'!J48</f>
        <v>2130.9</v>
      </c>
      <c r="U512" s="84">
        <f>U511</f>
        <v>1</v>
      </c>
      <c r="V512" s="84">
        <f t="shared" ref="V512" si="1043">(T512-S512)*U512</f>
        <v>361.20000000000005</v>
      </c>
      <c r="W512" s="84"/>
      <c r="X512" s="84"/>
      <c r="Y512" s="85">
        <f t="shared" si="1031"/>
        <v>2.3180000000000049</v>
      </c>
      <c r="Z512" s="86"/>
      <c r="AA512" s="82" t="s">
        <v>263</v>
      </c>
    </row>
    <row r="513" spans="1:27" s="40" customFormat="1" ht="39.950000000000003" hidden="1" customHeight="1" x14ac:dyDescent="0.25">
      <c r="A513" s="49">
        <v>13</v>
      </c>
      <c r="B513" s="49" t="str">
        <f t="shared" ref="B513:J513" si="1044">B512</f>
        <v>Hampapura</v>
      </c>
      <c r="C513" s="49" t="str">
        <f t="shared" si="1044"/>
        <v>Hommaragalli /1741</v>
      </c>
      <c r="D513" s="49" t="str">
        <f t="shared" si="1044"/>
        <v>Section Office</v>
      </c>
      <c r="E513" s="49" t="str">
        <f t="shared" si="1044"/>
        <v>MHQ-06</v>
      </c>
      <c r="F513" s="49">
        <f t="shared" si="1044"/>
        <v>1</v>
      </c>
      <c r="G513" s="49" t="str">
        <f t="shared" si="1044"/>
        <v>GOVT</v>
      </c>
      <c r="H513" s="49" t="str">
        <f t="shared" si="1044"/>
        <v>NON IPDS</v>
      </c>
      <c r="I513" s="49">
        <f t="shared" si="1044"/>
        <v>5</v>
      </c>
      <c r="J513" s="49" t="str">
        <f t="shared" si="1044"/>
        <v>LT3(II)</v>
      </c>
      <c r="K513" s="84">
        <f>'MHQ06'!Q49</f>
        <v>9288</v>
      </c>
      <c r="L513" s="84">
        <f>'MHQ06'!P49</f>
        <v>9538.2000000000007</v>
      </c>
      <c r="M513" s="84">
        <f t="shared" si="1027"/>
        <v>1</v>
      </c>
      <c r="N513" s="84">
        <f t="shared" si="1028"/>
        <v>250.20000000000073</v>
      </c>
      <c r="O513" s="84">
        <f>'MHQ06'!F49</f>
        <v>176.1</v>
      </c>
      <c r="P513" s="84">
        <f>'MHQ06'!E49</f>
        <v>187</v>
      </c>
      <c r="Q513" s="84">
        <f t="shared" si="1023"/>
        <v>0</v>
      </c>
      <c r="R513" s="84">
        <f t="shared" ref="R513:R515" si="1045">(P513-O513)*Q513</f>
        <v>0</v>
      </c>
      <c r="S513" s="84">
        <f>'MHQ06'!K49</f>
        <v>2130.9</v>
      </c>
      <c r="T513" s="84">
        <f>'MHQ06'!J49</f>
        <v>2370.1</v>
      </c>
      <c r="U513" s="84">
        <f>U512</f>
        <v>1</v>
      </c>
      <c r="V513" s="84">
        <f t="shared" ref="V513:V515" si="1046">(T513-S513)*U513</f>
        <v>239.19999999999982</v>
      </c>
      <c r="W513" s="84"/>
      <c r="X513" s="84"/>
      <c r="Y513" s="85">
        <f t="shared" si="1031"/>
        <v>1.668000000000005</v>
      </c>
      <c r="Z513" s="86"/>
      <c r="AA513" s="82" t="s">
        <v>265</v>
      </c>
    </row>
    <row r="514" spans="1:27" s="40" customFormat="1" ht="39.950000000000003" hidden="1" customHeight="1" x14ac:dyDescent="0.25">
      <c r="A514" s="49">
        <v>14</v>
      </c>
      <c r="B514" s="49" t="str">
        <f t="shared" ref="B514:J514" si="1047">B513</f>
        <v>Hampapura</v>
      </c>
      <c r="C514" s="49" t="str">
        <f t="shared" si="1047"/>
        <v>Hommaragalli /1741</v>
      </c>
      <c r="D514" s="49" t="str">
        <f t="shared" si="1047"/>
        <v>Section Office</v>
      </c>
      <c r="E514" s="49" t="str">
        <f t="shared" si="1047"/>
        <v>MHQ-06</v>
      </c>
      <c r="F514" s="49">
        <f t="shared" si="1047"/>
        <v>1</v>
      </c>
      <c r="G514" s="49" t="str">
        <f t="shared" si="1047"/>
        <v>GOVT</v>
      </c>
      <c r="H514" s="49" t="str">
        <f t="shared" si="1047"/>
        <v>NON IPDS</v>
      </c>
      <c r="I514" s="49">
        <f t="shared" si="1047"/>
        <v>5</v>
      </c>
      <c r="J514" s="49" t="str">
        <f t="shared" si="1047"/>
        <v>LT3(II)</v>
      </c>
      <c r="K514" s="84">
        <f>'MHQ06'!Q50</f>
        <v>9538.2000000000007</v>
      </c>
      <c r="L514" s="84">
        <f>'MHQ06'!P50</f>
        <v>9822.2000000000007</v>
      </c>
      <c r="M514" s="84">
        <f t="shared" si="1027"/>
        <v>1</v>
      </c>
      <c r="N514" s="84">
        <f t="shared" ref="N514:N519" si="1048">(L514-K514)*M514</f>
        <v>284</v>
      </c>
      <c r="O514" s="84">
        <f>'MHQ06'!F50</f>
        <v>187</v>
      </c>
      <c r="P514" s="84">
        <f>'MHQ06'!E50</f>
        <v>201.6</v>
      </c>
      <c r="Q514" s="84">
        <f t="shared" si="1023"/>
        <v>0</v>
      </c>
      <c r="R514" s="84">
        <f t="shared" si="1045"/>
        <v>0</v>
      </c>
      <c r="S514" s="84">
        <f>'MHQ06'!K50</f>
        <v>2370.1</v>
      </c>
      <c r="T514" s="84">
        <f>'MHQ06'!J50</f>
        <v>2654.2</v>
      </c>
      <c r="U514" s="84">
        <f t="shared" ref="U514:U533" si="1049">U513</f>
        <v>1</v>
      </c>
      <c r="V514" s="84">
        <f t="shared" si="1046"/>
        <v>284.09999999999991</v>
      </c>
      <c r="W514" s="84"/>
      <c r="X514" s="84"/>
      <c r="Y514" s="85">
        <f t="shared" ref="Y514:Y519" si="1050">N514/30/I514</f>
        <v>1.8933333333333333</v>
      </c>
      <c r="Z514" s="86"/>
      <c r="AA514" s="82"/>
    </row>
    <row r="515" spans="1:27" s="40" customFormat="1" ht="39.950000000000003" hidden="1" customHeight="1" x14ac:dyDescent="0.25">
      <c r="A515" s="49">
        <v>15</v>
      </c>
      <c r="B515" s="49" t="str">
        <f t="shared" ref="B515:J515" si="1051">B514</f>
        <v>Hampapura</v>
      </c>
      <c r="C515" s="49" t="str">
        <f t="shared" si="1051"/>
        <v>Hommaragalli /1741</v>
      </c>
      <c r="D515" s="49" t="str">
        <f t="shared" si="1051"/>
        <v>Section Office</v>
      </c>
      <c r="E515" s="49" t="str">
        <f t="shared" si="1051"/>
        <v>MHQ-06</v>
      </c>
      <c r="F515" s="49">
        <f t="shared" si="1051"/>
        <v>1</v>
      </c>
      <c r="G515" s="49" t="str">
        <f t="shared" si="1051"/>
        <v>GOVT</v>
      </c>
      <c r="H515" s="49" t="str">
        <f t="shared" si="1051"/>
        <v>NON IPDS</v>
      </c>
      <c r="I515" s="49">
        <f t="shared" si="1051"/>
        <v>5</v>
      </c>
      <c r="J515" s="49" t="str">
        <f t="shared" si="1051"/>
        <v>LT3(II)</v>
      </c>
      <c r="K515" s="84">
        <f>'MHQ06'!Q51</f>
        <v>9822.2000000000007</v>
      </c>
      <c r="L515" s="84">
        <f>'MHQ06'!P51</f>
        <v>10163.299999999999</v>
      </c>
      <c r="M515" s="84">
        <f t="shared" si="1027"/>
        <v>1</v>
      </c>
      <c r="N515" s="84">
        <f t="shared" si="1048"/>
        <v>341.09999999999854</v>
      </c>
      <c r="O515" s="84">
        <f>'MHQ06'!F51</f>
        <v>201.6</v>
      </c>
      <c r="P515" s="84">
        <f>'MHQ06'!E51</f>
        <v>215</v>
      </c>
      <c r="Q515" s="84">
        <f t="shared" si="1023"/>
        <v>0</v>
      </c>
      <c r="R515" s="84">
        <f t="shared" si="1045"/>
        <v>0</v>
      </c>
      <c r="S515" s="84">
        <f>'MHQ06'!K51</f>
        <v>2654.2</v>
      </c>
      <c r="T515" s="84">
        <f>'MHQ06'!J51</f>
        <v>2972.9</v>
      </c>
      <c r="U515" s="84">
        <f t="shared" si="1049"/>
        <v>1</v>
      </c>
      <c r="V515" s="84">
        <f t="shared" si="1046"/>
        <v>318.70000000000027</v>
      </c>
      <c r="W515" s="84"/>
      <c r="X515" s="84"/>
      <c r="Y515" s="85">
        <f t="shared" si="1050"/>
        <v>2.2739999999999903</v>
      </c>
      <c r="Z515" s="86"/>
      <c r="AA515" s="82"/>
    </row>
    <row r="516" spans="1:27" s="40" customFormat="1" ht="39.950000000000003" hidden="1" customHeight="1" x14ac:dyDescent="0.25">
      <c r="A516" s="49">
        <v>16</v>
      </c>
      <c r="B516" s="49" t="str">
        <f t="shared" ref="B516:J516" si="1052">B515</f>
        <v>Hampapura</v>
      </c>
      <c r="C516" s="49" t="str">
        <f t="shared" si="1052"/>
        <v>Hommaragalli /1741</v>
      </c>
      <c r="D516" s="49" t="str">
        <f t="shared" si="1052"/>
        <v>Section Office</v>
      </c>
      <c r="E516" s="49" t="str">
        <f t="shared" si="1052"/>
        <v>MHQ-06</v>
      </c>
      <c r="F516" s="49">
        <f t="shared" si="1052"/>
        <v>1</v>
      </c>
      <c r="G516" s="49" t="str">
        <f t="shared" si="1052"/>
        <v>GOVT</v>
      </c>
      <c r="H516" s="49" t="str">
        <f t="shared" si="1052"/>
        <v>NON IPDS</v>
      </c>
      <c r="I516" s="49">
        <f t="shared" si="1052"/>
        <v>5</v>
      </c>
      <c r="J516" s="49" t="str">
        <f t="shared" si="1052"/>
        <v>LT3(II)</v>
      </c>
      <c r="K516" s="84">
        <f>'MHQ06'!Q52</f>
        <v>10163.299999999999</v>
      </c>
      <c r="L516" s="84">
        <f>'MHQ06'!P52</f>
        <v>10499</v>
      </c>
      <c r="M516" s="84">
        <f t="shared" si="1027"/>
        <v>1</v>
      </c>
      <c r="N516" s="84">
        <f t="shared" si="1048"/>
        <v>335.70000000000073</v>
      </c>
      <c r="O516" s="84">
        <f>'MHQ06'!F52</f>
        <v>215</v>
      </c>
      <c r="P516" s="84">
        <f>'MHQ06'!E52</f>
        <v>223.5</v>
      </c>
      <c r="Q516" s="84">
        <f t="shared" si="1023"/>
        <v>0</v>
      </c>
      <c r="R516" s="84">
        <f t="shared" ref="R516:R519" si="1053">(P516-O516)*Q516</f>
        <v>0</v>
      </c>
      <c r="S516" s="84">
        <f>'MHQ06'!K52</f>
        <v>2972.9</v>
      </c>
      <c r="T516" s="84">
        <f>'MHQ06'!J52</f>
        <v>3298.1</v>
      </c>
      <c r="U516" s="84">
        <f t="shared" si="1049"/>
        <v>1</v>
      </c>
      <c r="V516" s="84">
        <f t="shared" ref="V516:V519" si="1054">(T516-S516)*U516</f>
        <v>325.19999999999982</v>
      </c>
      <c r="W516" s="84"/>
      <c r="X516" s="84"/>
      <c r="Y516" s="85">
        <f t="shared" si="1050"/>
        <v>2.2380000000000049</v>
      </c>
      <c r="Z516" s="86"/>
      <c r="AA516" s="82"/>
    </row>
    <row r="517" spans="1:27" s="40" customFormat="1" ht="39.950000000000003" hidden="1" customHeight="1" x14ac:dyDescent="0.25">
      <c r="A517" s="93">
        <v>17</v>
      </c>
      <c r="B517" s="49" t="str">
        <f t="shared" ref="B517:J517" si="1055">B516</f>
        <v>Hampapura</v>
      </c>
      <c r="C517" s="49" t="str">
        <f t="shared" si="1055"/>
        <v>Hommaragalli /1741</v>
      </c>
      <c r="D517" s="49" t="str">
        <f t="shared" si="1055"/>
        <v>Section Office</v>
      </c>
      <c r="E517" s="49" t="str">
        <f t="shared" si="1055"/>
        <v>MHQ-06</v>
      </c>
      <c r="F517" s="49">
        <f t="shared" si="1055"/>
        <v>1</v>
      </c>
      <c r="G517" s="49" t="str">
        <f t="shared" si="1055"/>
        <v>GOVT</v>
      </c>
      <c r="H517" s="49" t="str">
        <f t="shared" si="1055"/>
        <v>NON IPDS</v>
      </c>
      <c r="I517" s="49">
        <f t="shared" si="1055"/>
        <v>5</v>
      </c>
      <c r="J517" s="49" t="str">
        <f t="shared" si="1055"/>
        <v>LT3(II)</v>
      </c>
      <c r="K517" s="84">
        <f>'MHQ06'!Q53</f>
        <v>10499</v>
      </c>
      <c r="L517" s="84">
        <f>'MHQ06'!P53</f>
        <v>10926</v>
      </c>
      <c r="M517" s="84">
        <f t="shared" si="1027"/>
        <v>1</v>
      </c>
      <c r="N517" s="84">
        <f t="shared" si="1048"/>
        <v>427</v>
      </c>
      <c r="O517" s="84">
        <f>'MHQ06'!F53</f>
        <v>223.5</v>
      </c>
      <c r="P517" s="84">
        <f>'MHQ06'!E53</f>
        <v>239.9</v>
      </c>
      <c r="Q517" s="84">
        <f t="shared" si="1023"/>
        <v>1</v>
      </c>
      <c r="R517" s="84">
        <f t="shared" si="1053"/>
        <v>16.400000000000006</v>
      </c>
      <c r="S517" s="84">
        <f>'MHQ06'!K53</f>
        <v>3298.1</v>
      </c>
      <c r="T517" s="84">
        <f>'MHQ06'!J53</f>
        <v>3701.1</v>
      </c>
      <c r="U517" s="84">
        <f t="shared" si="1049"/>
        <v>1</v>
      </c>
      <c r="V517" s="84">
        <f t="shared" si="1054"/>
        <v>403</v>
      </c>
      <c r="W517" s="84"/>
      <c r="X517" s="84"/>
      <c r="Y517" s="85">
        <f t="shared" si="1050"/>
        <v>2.8466666666666667</v>
      </c>
      <c r="Z517" s="86"/>
      <c r="AA517" s="82"/>
    </row>
    <row r="518" spans="1:27" s="40" customFormat="1" ht="39.950000000000003" hidden="1" customHeight="1" x14ac:dyDescent="0.25">
      <c r="A518" s="94">
        <v>18</v>
      </c>
      <c r="B518" s="49" t="str">
        <f t="shared" ref="B518:J518" si="1056">B517</f>
        <v>Hampapura</v>
      </c>
      <c r="C518" s="49" t="str">
        <f t="shared" si="1056"/>
        <v>Hommaragalli /1741</v>
      </c>
      <c r="D518" s="49" t="str">
        <f t="shared" si="1056"/>
        <v>Section Office</v>
      </c>
      <c r="E518" s="49" t="str">
        <f t="shared" si="1056"/>
        <v>MHQ-06</v>
      </c>
      <c r="F518" s="49">
        <f t="shared" si="1056"/>
        <v>1</v>
      </c>
      <c r="G518" s="49" t="str">
        <f t="shared" si="1056"/>
        <v>GOVT</v>
      </c>
      <c r="H518" s="49" t="str">
        <f t="shared" si="1056"/>
        <v>NON IPDS</v>
      </c>
      <c r="I518" s="49">
        <f t="shared" si="1056"/>
        <v>5</v>
      </c>
      <c r="J518" s="49" t="str">
        <f t="shared" si="1056"/>
        <v>LT3(II)</v>
      </c>
      <c r="K518" s="84">
        <f>'MHQ06'!Q54</f>
        <v>10926</v>
      </c>
      <c r="L518" s="84">
        <f>'MHQ06'!P54</f>
        <v>11295</v>
      </c>
      <c r="M518" s="84">
        <f t="shared" si="1027"/>
        <v>1</v>
      </c>
      <c r="N518" s="84">
        <f t="shared" si="1048"/>
        <v>369</v>
      </c>
      <c r="O518" s="84">
        <f>'MHQ06'!F54</f>
        <v>239.9</v>
      </c>
      <c r="P518" s="84">
        <f>'MHQ06'!E54</f>
        <v>259.3</v>
      </c>
      <c r="Q518" s="84">
        <f t="shared" si="1023"/>
        <v>0</v>
      </c>
      <c r="R518" s="84">
        <f t="shared" si="1053"/>
        <v>0</v>
      </c>
      <c r="S518" s="84">
        <f>'MHQ06'!K54</f>
        <v>3701.1</v>
      </c>
      <c r="T518" s="84">
        <f>'MHQ06'!J54</f>
        <v>4063.8</v>
      </c>
      <c r="U518" s="84">
        <f t="shared" si="1049"/>
        <v>1</v>
      </c>
      <c r="V518" s="84">
        <f t="shared" si="1054"/>
        <v>362.70000000000027</v>
      </c>
      <c r="W518" s="84"/>
      <c r="X518" s="84"/>
      <c r="Y518" s="85">
        <f t="shared" si="1050"/>
        <v>2.46</v>
      </c>
      <c r="Z518" s="86"/>
      <c r="AA518" s="82"/>
    </row>
    <row r="519" spans="1:27" s="40" customFormat="1" ht="39.950000000000003" hidden="1" customHeight="1" x14ac:dyDescent="0.25">
      <c r="A519" s="95">
        <v>19</v>
      </c>
      <c r="B519" s="49" t="str">
        <f t="shared" ref="B519:J519" si="1057">B518</f>
        <v>Hampapura</v>
      </c>
      <c r="C519" s="49" t="str">
        <f t="shared" si="1057"/>
        <v>Hommaragalli /1741</v>
      </c>
      <c r="D519" s="49" t="str">
        <f t="shared" si="1057"/>
        <v>Section Office</v>
      </c>
      <c r="E519" s="49" t="str">
        <f t="shared" si="1057"/>
        <v>MHQ-06</v>
      </c>
      <c r="F519" s="49">
        <f t="shared" si="1057"/>
        <v>1</v>
      </c>
      <c r="G519" s="49" t="str">
        <f t="shared" si="1057"/>
        <v>GOVT</v>
      </c>
      <c r="H519" s="49" t="str">
        <f t="shared" si="1057"/>
        <v>NON IPDS</v>
      </c>
      <c r="I519" s="49">
        <f t="shared" si="1057"/>
        <v>5</v>
      </c>
      <c r="J519" s="49" t="str">
        <f t="shared" si="1057"/>
        <v>LT3(II)</v>
      </c>
      <c r="K519" s="84">
        <f>'MHQ06'!Q55</f>
        <v>11295</v>
      </c>
      <c r="L519" s="84">
        <f>'MHQ06'!P55</f>
        <v>11661.3</v>
      </c>
      <c r="M519" s="84">
        <f t="shared" si="1027"/>
        <v>1</v>
      </c>
      <c r="N519" s="84">
        <f t="shared" si="1048"/>
        <v>366.29999999999927</v>
      </c>
      <c r="O519" s="84">
        <f>'MHQ06'!F55</f>
        <v>259.3</v>
      </c>
      <c r="P519" s="84">
        <f>'MHQ06'!E55</f>
        <v>289.2</v>
      </c>
      <c r="Q519" s="84">
        <f t="shared" si="1023"/>
        <v>0</v>
      </c>
      <c r="R519" s="84">
        <f t="shared" si="1053"/>
        <v>0</v>
      </c>
      <c r="S519" s="84">
        <f>'MHQ06'!K55</f>
        <v>4063.8</v>
      </c>
      <c r="T519" s="84">
        <f>'MHQ06'!J55</f>
        <v>4425.5</v>
      </c>
      <c r="U519" s="84">
        <f t="shared" si="1049"/>
        <v>1</v>
      </c>
      <c r="V519" s="84">
        <f t="shared" si="1054"/>
        <v>361.69999999999982</v>
      </c>
      <c r="W519" s="84"/>
      <c r="X519" s="84"/>
      <c r="Y519" s="85">
        <f t="shared" si="1050"/>
        <v>2.4419999999999953</v>
      </c>
      <c r="Z519" s="86"/>
      <c r="AA519" s="82"/>
    </row>
    <row r="520" spans="1:27" s="40" customFormat="1" ht="39.950000000000003" hidden="1" customHeight="1" x14ac:dyDescent="0.25">
      <c r="A520" s="49">
        <v>20</v>
      </c>
      <c r="B520" s="49" t="str">
        <f t="shared" ref="B520:J525" si="1058">B519</f>
        <v>Hampapura</v>
      </c>
      <c r="C520" s="49" t="str">
        <f t="shared" si="1058"/>
        <v>Hommaragalli /1741</v>
      </c>
      <c r="D520" s="49" t="str">
        <f t="shared" si="1058"/>
        <v>Section Office</v>
      </c>
      <c r="E520" s="49" t="str">
        <f t="shared" si="1058"/>
        <v>MHQ-06</v>
      </c>
      <c r="F520" s="49">
        <f t="shared" si="1058"/>
        <v>1</v>
      </c>
      <c r="G520" s="49" t="str">
        <f t="shared" si="1058"/>
        <v>GOVT</v>
      </c>
      <c r="H520" s="49" t="str">
        <f t="shared" si="1058"/>
        <v>NON IPDS</v>
      </c>
      <c r="I520" s="49">
        <f t="shared" si="1058"/>
        <v>5</v>
      </c>
      <c r="J520" s="49" t="str">
        <f t="shared" si="1058"/>
        <v>LT3(II)</v>
      </c>
      <c r="K520" s="84">
        <f>'MHQ06'!Q56</f>
        <v>11661.3</v>
      </c>
      <c r="L520" s="84">
        <f>'MHQ06'!P56</f>
        <v>12102.3</v>
      </c>
      <c r="M520" s="84">
        <f t="shared" si="1027"/>
        <v>1</v>
      </c>
      <c r="N520" s="84">
        <f t="shared" ref="N520" si="1059">(L520-K520)*M520</f>
        <v>441</v>
      </c>
      <c r="O520" s="84">
        <f>'MHQ06'!F56</f>
        <v>289.2</v>
      </c>
      <c r="P520" s="84">
        <f>'MHQ06'!E56</f>
        <v>313.2</v>
      </c>
      <c r="Q520" s="84">
        <f t="shared" si="1023"/>
        <v>0</v>
      </c>
      <c r="R520" s="84">
        <f t="shared" ref="R520" si="1060">(P520-O520)*Q520</f>
        <v>0</v>
      </c>
      <c r="S520" s="84">
        <f>'MHQ06'!K56</f>
        <v>4425.5</v>
      </c>
      <c r="T520" s="84">
        <f>'MHQ06'!J56</f>
        <v>4852.2</v>
      </c>
      <c r="U520" s="84">
        <f t="shared" si="1049"/>
        <v>1</v>
      </c>
      <c r="V520" s="84">
        <f t="shared" ref="V520" si="1061">(T520-S520)*U520</f>
        <v>426.69999999999982</v>
      </c>
      <c r="W520" s="84"/>
      <c r="X520" s="84"/>
      <c r="Y520" s="85">
        <f t="shared" ref="Y520" si="1062">N520/30/I520</f>
        <v>2.94</v>
      </c>
      <c r="Z520" s="86"/>
      <c r="AA520" s="82"/>
    </row>
    <row r="521" spans="1:27" s="40" customFormat="1" ht="39.950000000000003" hidden="1" customHeight="1" x14ac:dyDescent="0.25">
      <c r="A521" s="49">
        <v>21</v>
      </c>
      <c r="B521" s="49" t="str">
        <f t="shared" si="1058"/>
        <v>Hampapura</v>
      </c>
      <c r="C521" s="49" t="str">
        <f t="shared" si="1058"/>
        <v>Hommaragalli /1741</v>
      </c>
      <c r="D521" s="49" t="str">
        <f t="shared" si="1058"/>
        <v>Section Office</v>
      </c>
      <c r="E521" s="49" t="str">
        <f t="shared" si="1058"/>
        <v>MHQ-06</v>
      </c>
      <c r="F521" s="49">
        <f t="shared" si="1058"/>
        <v>1</v>
      </c>
      <c r="G521" s="49" t="str">
        <f t="shared" si="1058"/>
        <v>GOVT</v>
      </c>
      <c r="H521" s="49" t="str">
        <f t="shared" si="1058"/>
        <v>NON IPDS</v>
      </c>
      <c r="I521" s="49">
        <f t="shared" si="1058"/>
        <v>5</v>
      </c>
      <c r="J521" s="49" t="str">
        <f t="shared" si="1058"/>
        <v>LT3(II)</v>
      </c>
      <c r="K521" s="84">
        <f>'MHQ06'!Q57</f>
        <v>12102.3</v>
      </c>
      <c r="L521" s="84">
        <f>'MHQ06'!P57</f>
        <v>12581.4</v>
      </c>
      <c r="M521" s="84">
        <f t="shared" si="1027"/>
        <v>1</v>
      </c>
      <c r="N521" s="84">
        <f t="shared" ref="N521:N523" si="1063">(L521-K521)*M521</f>
        <v>479.10000000000036</v>
      </c>
      <c r="O521" s="84">
        <f>'MHQ06'!F57</f>
        <v>313.2</v>
      </c>
      <c r="P521" s="84">
        <f>'MHQ06'!E57</f>
        <v>327.10000000000002</v>
      </c>
      <c r="Q521" s="84">
        <f t="shared" si="1023"/>
        <v>0</v>
      </c>
      <c r="R521" s="84">
        <f t="shared" ref="R521:R523" si="1064">(P521-O521)*Q521</f>
        <v>0</v>
      </c>
      <c r="S521" s="84">
        <f>'MHQ06'!K57</f>
        <v>4852.2</v>
      </c>
      <c r="T521" s="84">
        <f>'MHQ06'!J57</f>
        <v>5316.2</v>
      </c>
      <c r="U521" s="84">
        <f t="shared" si="1049"/>
        <v>1</v>
      </c>
      <c r="V521" s="84">
        <f t="shared" ref="V521:V523" si="1065">(T521-S521)*U521</f>
        <v>464</v>
      </c>
      <c r="W521" s="84"/>
      <c r="X521" s="84"/>
      <c r="Y521" s="85">
        <f t="shared" ref="Y521:Y523" si="1066">N521/30/I521</f>
        <v>3.1940000000000022</v>
      </c>
      <c r="Z521" s="86"/>
      <c r="AA521" s="82"/>
    </row>
    <row r="522" spans="1:27" s="40" customFormat="1" ht="39.950000000000003" hidden="1" customHeight="1" x14ac:dyDescent="0.25">
      <c r="A522" s="49">
        <v>22</v>
      </c>
      <c r="B522" s="49" t="str">
        <f t="shared" si="1058"/>
        <v>Hampapura</v>
      </c>
      <c r="C522" s="49" t="str">
        <f t="shared" si="1058"/>
        <v>Hommaragalli /1741</v>
      </c>
      <c r="D522" s="49" t="str">
        <f t="shared" si="1058"/>
        <v>Section Office</v>
      </c>
      <c r="E522" s="49" t="str">
        <f t="shared" si="1058"/>
        <v>MHQ-06</v>
      </c>
      <c r="F522" s="49">
        <f t="shared" si="1058"/>
        <v>1</v>
      </c>
      <c r="G522" s="49" t="str">
        <f t="shared" si="1058"/>
        <v>GOVT</v>
      </c>
      <c r="H522" s="49" t="str">
        <f t="shared" si="1058"/>
        <v>NON IPDS</v>
      </c>
      <c r="I522" s="49">
        <f t="shared" si="1058"/>
        <v>5</v>
      </c>
      <c r="J522" s="49" t="str">
        <f t="shared" si="1058"/>
        <v>LT3(II)</v>
      </c>
      <c r="K522" s="84">
        <f>'MHQ06'!Q58</f>
        <v>12581.4</v>
      </c>
      <c r="L522" s="84">
        <f>'MHQ06'!P58</f>
        <v>13015.5</v>
      </c>
      <c r="M522" s="84">
        <f t="shared" si="1027"/>
        <v>1</v>
      </c>
      <c r="N522" s="84">
        <f t="shared" si="1063"/>
        <v>434.10000000000036</v>
      </c>
      <c r="O522" s="84">
        <f>'MHQ06'!F58</f>
        <v>327.10000000000002</v>
      </c>
      <c r="P522" s="84">
        <f>'MHQ06'!E58</f>
        <v>338.8</v>
      </c>
      <c r="Q522" s="84">
        <f t="shared" si="1023"/>
        <v>1</v>
      </c>
      <c r="R522" s="84">
        <f t="shared" si="1064"/>
        <v>11.699999999999989</v>
      </c>
      <c r="S522" s="84">
        <f>'MHQ06'!K58</f>
        <v>5316.2</v>
      </c>
      <c r="T522" s="84">
        <f>'MHQ06'!J58</f>
        <v>5735.3</v>
      </c>
      <c r="U522" s="84">
        <f t="shared" si="1049"/>
        <v>1</v>
      </c>
      <c r="V522" s="84">
        <f t="shared" si="1065"/>
        <v>419.10000000000036</v>
      </c>
      <c r="W522" s="84"/>
      <c r="X522" s="84"/>
      <c r="Y522" s="85">
        <f t="shared" si="1066"/>
        <v>2.8940000000000023</v>
      </c>
      <c r="Z522" s="86"/>
      <c r="AA522" s="82"/>
    </row>
    <row r="523" spans="1:27" s="40" customFormat="1" ht="39.950000000000003" hidden="1" customHeight="1" x14ac:dyDescent="0.25">
      <c r="A523" s="49">
        <v>23</v>
      </c>
      <c r="B523" s="49" t="str">
        <f t="shared" si="1058"/>
        <v>Hampapura</v>
      </c>
      <c r="C523" s="49" t="str">
        <f t="shared" si="1058"/>
        <v>Hommaragalli /1741</v>
      </c>
      <c r="D523" s="49" t="str">
        <f t="shared" si="1058"/>
        <v>Section Office</v>
      </c>
      <c r="E523" s="49" t="str">
        <f t="shared" si="1058"/>
        <v>MHQ-06</v>
      </c>
      <c r="F523" s="49">
        <f t="shared" si="1058"/>
        <v>1</v>
      </c>
      <c r="G523" s="49" t="str">
        <f t="shared" si="1058"/>
        <v>GOVT</v>
      </c>
      <c r="H523" s="49" t="str">
        <f t="shared" si="1058"/>
        <v>NON IPDS</v>
      </c>
      <c r="I523" s="49">
        <f t="shared" si="1058"/>
        <v>5</v>
      </c>
      <c r="J523" s="49" t="str">
        <f t="shared" si="1058"/>
        <v>LT3(II)</v>
      </c>
      <c r="K523" s="84">
        <f>'MHQ06'!Q59</f>
        <v>13015.5</v>
      </c>
      <c r="L523" s="84">
        <f>'MHQ06'!P59</f>
        <v>13455.5</v>
      </c>
      <c r="M523" s="84">
        <f t="shared" si="1027"/>
        <v>1</v>
      </c>
      <c r="N523" s="84">
        <f t="shared" si="1063"/>
        <v>440</v>
      </c>
      <c r="O523" s="84">
        <f>'MHQ06'!F59</f>
        <v>338.8</v>
      </c>
      <c r="P523" s="84">
        <f>'MHQ06'!E59</f>
        <v>348.8</v>
      </c>
      <c r="Q523" s="84">
        <f t="shared" si="1023"/>
        <v>0</v>
      </c>
      <c r="R523" s="84">
        <f t="shared" si="1064"/>
        <v>0</v>
      </c>
      <c r="S523" s="84">
        <f>'MHQ06'!K59</f>
        <v>5735.3</v>
      </c>
      <c r="T523" s="84">
        <f>'MHQ06'!J59</f>
        <v>6163.3</v>
      </c>
      <c r="U523" s="84">
        <f t="shared" si="1049"/>
        <v>1</v>
      </c>
      <c r="V523" s="84">
        <f t="shared" si="1065"/>
        <v>428</v>
      </c>
      <c r="W523" s="84"/>
      <c r="X523" s="84"/>
      <c r="Y523" s="85">
        <f t="shared" si="1066"/>
        <v>2.9333333333333331</v>
      </c>
      <c r="Z523" s="86"/>
      <c r="AA523" s="82"/>
    </row>
    <row r="524" spans="1:27" s="40" customFormat="1" ht="39.950000000000003" hidden="1" customHeight="1" x14ac:dyDescent="0.25">
      <c r="A524" s="49">
        <v>24</v>
      </c>
      <c r="B524" s="49" t="str">
        <f t="shared" si="1058"/>
        <v>Hampapura</v>
      </c>
      <c r="C524" s="49" t="str">
        <f t="shared" si="1058"/>
        <v>Hommaragalli /1741</v>
      </c>
      <c r="D524" s="49" t="str">
        <f t="shared" si="1058"/>
        <v>Section Office</v>
      </c>
      <c r="E524" s="49" t="str">
        <f t="shared" si="1058"/>
        <v>MHQ-06</v>
      </c>
      <c r="F524" s="49">
        <f t="shared" si="1058"/>
        <v>1</v>
      </c>
      <c r="G524" s="49" t="str">
        <f t="shared" si="1058"/>
        <v>GOVT</v>
      </c>
      <c r="H524" s="49" t="str">
        <f t="shared" si="1058"/>
        <v>NON IPDS</v>
      </c>
      <c r="I524" s="49">
        <f t="shared" si="1058"/>
        <v>5</v>
      </c>
      <c r="J524" s="49" t="str">
        <f t="shared" si="1058"/>
        <v>LT3(II)</v>
      </c>
      <c r="K524" s="84">
        <f>'MHQ06'!Q60</f>
        <v>13455.5</v>
      </c>
      <c r="L524" s="84">
        <f>'MHQ06'!P60</f>
        <v>13773.2</v>
      </c>
      <c r="M524" s="84">
        <f t="shared" si="1027"/>
        <v>1</v>
      </c>
      <c r="N524" s="84">
        <f t="shared" ref="N524:N528" si="1067">(L524-K524)*M524</f>
        <v>317.70000000000073</v>
      </c>
      <c r="O524" s="84">
        <f>'MHQ06'!F60</f>
        <v>348.8</v>
      </c>
      <c r="P524" s="84">
        <f>'MHQ06'!E60</f>
        <v>371.8</v>
      </c>
      <c r="Q524" s="84">
        <f t="shared" si="1023"/>
        <v>0</v>
      </c>
      <c r="R524" s="84">
        <f t="shared" ref="R524:R528" si="1068">(P524-O524)*Q524</f>
        <v>0</v>
      </c>
      <c r="S524" s="84">
        <f>'MHQ06'!K60</f>
        <v>6163.3</v>
      </c>
      <c r="T524" s="84">
        <f>'MHQ06'!J60</f>
        <v>6462.8</v>
      </c>
      <c r="U524" s="84">
        <f t="shared" si="1049"/>
        <v>1</v>
      </c>
      <c r="V524" s="84">
        <f t="shared" ref="V524:V528" si="1069">(T524-S524)*U524</f>
        <v>299.5</v>
      </c>
      <c r="W524" s="84"/>
      <c r="X524" s="84"/>
      <c r="Y524" s="85">
        <f t="shared" ref="Y524:Y528" si="1070">N524/30/I524</f>
        <v>2.1180000000000048</v>
      </c>
      <c r="Z524" s="86"/>
      <c r="AA524" s="82"/>
    </row>
    <row r="525" spans="1:27" s="40" customFormat="1" ht="39.950000000000003" hidden="1" customHeight="1" x14ac:dyDescent="0.25">
      <c r="A525" s="49">
        <v>25</v>
      </c>
      <c r="B525" s="49" t="str">
        <f t="shared" si="1058"/>
        <v>Hampapura</v>
      </c>
      <c r="C525" s="49" t="str">
        <f t="shared" si="1058"/>
        <v>Hommaragalli /1741</v>
      </c>
      <c r="D525" s="49" t="str">
        <f t="shared" si="1058"/>
        <v>Section Office</v>
      </c>
      <c r="E525" s="49" t="str">
        <f t="shared" si="1058"/>
        <v>MHQ-06</v>
      </c>
      <c r="F525" s="49">
        <f t="shared" si="1058"/>
        <v>1</v>
      </c>
      <c r="G525" s="49" t="str">
        <f t="shared" si="1058"/>
        <v>GOVT</v>
      </c>
      <c r="H525" s="49" t="str">
        <f t="shared" si="1058"/>
        <v>NON IPDS</v>
      </c>
      <c r="I525" s="49">
        <f t="shared" si="1058"/>
        <v>5</v>
      </c>
      <c r="J525" s="49" t="str">
        <f t="shared" si="1058"/>
        <v>LT3(II)</v>
      </c>
      <c r="K525" s="84">
        <f>'MHQ06'!Q61</f>
        <v>13773.2</v>
      </c>
      <c r="L525" s="84">
        <f>'MHQ06'!P61</f>
        <v>14048.5</v>
      </c>
      <c r="M525" s="84">
        <f t="shared" si="1027"/>
        <v>1</v>
      </c>
      <c r="N525" s="84">
        <f t="shared" si="1067"/>
        <v>275.29999999999927</v>
      </c>
      <c r="O525" s="84">
        <f>'MHQ06'!F61</f>
        <v>371.8</v>
      </c>
      <c r="P525" s="84">
        <f>'MHQ06'!E61</f>
        <v>400.7</v>
      </c>
      <c r="Q525" s="84">
        <f t="shared" si="1023"/>
        <v>0</v>
      </c>
      <c r="R525" s="84">
        <f t="shared" si="1068"/>
        <v>0</v>
      </c>
      <c r="S525" s="84">
        <f>'MHQ06'!K61</f>
        <v>6462.8</v>
      </c>
      <c r="T525" s="84">
        <f>'MHQ06'!J61</f>
        <v>6721</v>
      </c>
      <c r="U525" s="84">
        <f t="shared" si="1049"/>
        <v>1</v>
      </c>
      <c r="V525" s="84">
        <f t="shared" si="1069"/>
        <v>258.19999999999982</v>
      </c>
      <c r="W525" s="84"/>
      <c r="X525" s="84"/>
      <c r="Y525" s="85">
        <f t="shared" si="1070"/>
        <v>1.8353333333333286</v>
      </c>
      <c r="Z525" s="86"/>
      <c r="AA525" s="82"/>
    </row>
    <row r="526" spans="1:27" s="40" customFormat="1" ht="39.950000000000003" hidden="1" customHeight="1" x14ac:dyDescent="0.25">
      <c r="A526" s="49">
        <v>26</v>
      </c>
      <c r="B526" s="49" t="str">
        <f t="shared" ref="B526:J526" si="1071">B525</f>
        <v>Hampapura</v>
      </c>
      <c r="C526" s="49" t="str">
        <f t="shared" si="1071"/>
        <v>Hommaragalli /1741</v>
      </c>
      <c r="D526" s="49" t="str">
        <f t="shared" si="1071"/>
        <v>Section Office</v>
      </c>
      <c r="E526" s="49" t="str">
        <f t="shared" si="1071"/>
        <v>MHQ-06</v>
      </c>
      <c r="F526" s="49">
        <f t="shared" si="1071"/>
        <v>1</v>
      </c>
      <c r="G526" s="49" t="str">
        <f t="shared" si="1071"/>
        <v>GOVT</v>
      </c>
      <c r="H526" s="49" t="str">
        <f t="shared" si="1071"/>
        <v>NON IPDS</v>
      </c>
      <c r="I526" s="49">
        <f t="shared" si="1071"/>
        <v>5</v>
      </c>
      <c r="J526" s="49" t="str">
        <f t="shared" si="1071"/>
        <v>LT3(II)</v>
      </c>
      <c r="K526" s="84">
        <f>'MHQ06'!Q62</f>
        <v>14048.5</v>
      </c>
      <c r="L526" s="84">
        <f>'MHQ06'!P62</f>
        <v>14373.5</v>
      </c>
      <c r="M526" s="84">
        <f t="shared" si="1027"/>
        <v>1</v>
      </c>
      <c r="N526" s="84">
        <f t="shared" si="1067"/>
        <v>325</v>
      </c>
      <c r="O526" s="84">
        <f>'MHQ06'!F62</f>
        <v>400.7</v>
      </c>
      <c r="P526" s="84">
        <f>'MHQ06'!E62</f>
        <v>418.6</v>
      </c>
      <c r="Q526" s="84">
        <f t="shared" si="1023"/>
        <v>0</v>
      </c>
      <c r="R526" s="84">
        <f t="shared" si="1068"/>
        <v>0</v>
      </c>
      <c r="S526" s="84">
        <f>'MHQ06'!K62</f>
        <v>6721</v>
      </c>
      <c r="T526" s="84">
        <f>'MHQ06'!J62</f>
        <v>7010.4</v>
      </c>
      <c r="U526" s="84">
        <f t="shared" si="1049"/>
        <v>1</v>
      </c>
      <c r="V526" s="84">
        <f t="shared" si="1069"/>
        <v>289.39999999999964</v>
      </c>
      <c r="W526" s="84"/>
      <c r="X526" s="84"/>
      <c r="Y526" s="85">
        <f t="shared" si="1070"/>
        <v>2.166666666666667</v>
      </c>
      <c r="Z526" s="86"/>
      <c r="AA526" s="82"/>
    </row>
    <row r="527" spans="1:27" s="40" customFormat="1" ht="39.950000000000003" hidden="1" customHeight="1" x14ac:dyDescent="0.25">
      <c r="A527" s="49">
        <v>27</v>
      </c>
      <c r="B527" s="49" t="str">
        <f t="shared" ref="B527:J527" si="1072">B526</f>
        <v>Hampapura</v>
      </c>
      <c r="C527" s="49" t="str">
        <f t="shared" si="1072"/>
        <v>Hommaragalli /1741</v>
      </c>
      <c r="D527" s="49" t="str">
        <f t="shared" si="1072"/>
        <v>Section Office</v>
      </c>
      <c r="E527" s="49" t="str">
        <f t="shared" si="1072"/>
        <v>MHQ-06</v>
      </c>
      <c r="F527" s="49">
        <f t="shared" si="1072"/>
        <v>1</v>
      </c>
      <c r="G527" s="49" t="str">
        <f t="shared" si="1072"/>
        <v>GOVT</v>
      </c>
      <c r="H527" s="49" t="str">
        <f t="shared" si="1072"/>
        <v>NON IPDS</v>
      </c>
      <c r="I527" s="49">
        <f t="shared" si="1072"/>
        <v>5</v>
      </c>
      <c r="J527" s="49" t="str">
        <f t="shared" si="1072"/>
        <v>LT3(II)</v>
      </c>
      <c r="K527" s="84">
        <f>'MHQ06'!Q63</f>
        <v>14373.5</v>
      </c>
      <c r="L527" s="84">
        <f>'MHQ06'!P63</f>
        <v>14654</v>
      </c>
      <c r="M527" s="84">
        <f t="shared" si="1027"/>
        <v>1</v>
      </c>
      <c r="N527" s="84">
        <f t="shared" si="1067"/>
        <v>280.5</v>
      </c>
      <c r="O527" s="84">
        <f>'MHQ06'!F63</f>
        <v>418.6</v>
      </c>
      <c r="P527" s="84">
        <f>'MHQ06'!E63</f>
        <v>452.8</v>
      </c>
      <c r="Q527" s="84">
        <f t="shared" si="1023"/>
        <v>1</v>
      </c>
      <c r="R527" s="84">
        <f t="shared" si="1068"/>
        <v>34.199999999999989</v>
      </c>
      <c r="S527" s="84">
        <f>'MHQ06'!K63</f>
        <v>7010.4</v>
      </c>
      <c r="T527" s="84">
        <f>'MHQ06'!J63</f>
        <v>7286.3</v>
      </c>
      <c r="U527" s="84">
        <f t="shared" si="1049"/>
        <v>1</v>
      </c>
      <c r="V527" s="84">
        <f t="shared" si="1069"/>
        <v>275.90000000000055</v>
      </c>
      <c r="W527" s="84"/>
      <c r="X527" s="84"/>
      <c r="Y527" s="85">
        <f t="shared" si="1070"/>
        <v>1.8699999999999999</v>
      </c>
      <c r="Z527" s="86"/>
      <c r="AA527" s="82"/>
    </row>
    <row r="528" spans="1:27" s="40" customFormat="1" ht="39.950000000000003" hidden="1" customHeight="1" x14ac:dyDescent="0.25">
      <c r="A528" s="49">
        <v>28</v>
      </c>
      <c r="B528" s="49" t="str">
        <f t="shared" ref="B528:J530" si="1073">B527</f>
        <v>Hampapura</v>
      </c>
      <c r="C528" s="49" t="str">
        <f t="shared" si="1073"/>
        <v>Hommaragalli /1741</v>
      </c>
      <c r="D528" s="49" t="str">
        <f t="shared" si="1073"/>
        <v>Section Office</v>
      </c>
      <c r="E528" s="49" t="str">
        <f t="shared" si="1073"/>
        <v>MHQ-06</v>
      </c>
      <c r="F528" s="49">
        <f t="shared" si="1073"/>
        <v>1</v>
      </c>
      <c r="G528" s="49" t="str">
        <f t="shared" si="1073"/>
        <v>GOVT</v>
      </c>
      <c r="H528" s="49" t="str">
        <f t="shared" si="1073"/>
        <v>NON IPDS</v>
      </c>
      <c r="I528" s="49">
        <f t="shared" si="1073"/>
        <v>5</v>
      </c>
      <c r="J528" s="49" t="str">
        <f t="shared" si="1073"/>
        <v>LT3(II)</v>
      </c>
      <c r="K528" s="84">
        <f>'MHQ06'!Q64</f>
        <v>14654</v>
      </c>
      <c r="L528" s="84">
        <f>'MHQ06'!P64</f>
        <v>15030</v>
      </c>
      <c r="M528" s="84">
        <f t="shared" si="1027"/>
        <v>1</v>
      </c>
      <c r="N528" s="84">
        <f t="shared" si="1067"/>
        <v>376</v>
      </c>
      <c r="O528" s="84">
        <f>'MHQ06'!F64</f>
        <v>452.8</v>
      </c>
      <c r="P528" s="84">
        <f>'MHQ06'!E64</f>
        <v>467.9</v>
      </c>
      <c r="Q528" s="84">
        <f t="shared" si="1023"/>
        <v>0</v>
      </c>
      <c r="R528" s="84">
        <f t="shared" si="1068"/>
        <v>0</v>
      </c>
      <c r="S528" s="84">
        <f>'MHQ06'!K64</f>
        <v>7286.3</v>
      </c>
      <c r="T528" s="84">
        <f>'MHQ06'!J64</f>
        <v>7647.1</v>
      </c>
      <c r="U528" s="84">
        <f t="shared" si="1049"/>
        <v>1</v>
      </c>
      <c r="V528" s="84">
        <f t="shared" si="1069"/>
        <v>360.80000000000018</v>
      </c>
      <c r="W528" s="84">
        <f>'MHQ06'!U64</f>
        <v>0.21</v>
      </c>
      <c r="X528" s="84">
        <f>'MHQ06'!V64</f>
        <v>0.98</v>
      </c>
      <c r="Y528" s="85">
        <f t="shared" si="1070"/>
        <v>2.5066666666666668</v>
      </c>
      <c r="Z528" s="86"/>
      <c r="AA528" s="82"/>
    </row>
    <row r="529" spans="1:27" s="40" customFormat="1" ht="39.950000000000003" hidden="1" customHeight="1" x14ac:dyDescent="0.25">
      <c r="A529" s="49">
        <v>29</v>
      </c>
      <c r="B529" s="49" t="str">
        <f t="shared" ref="B529:J529" si="1074">B528</f>
        <v>Hampapura</v>
      </c>
      <c r="C529" s="49" t="str">
        <f t="shared" si="1074"/>
        <v>Hommaragalli /1741</v>
      </c>
      <c r="D529" s="49" t="str">
        <f t="shared" si="1074"/>
        <v>Section Office</v>
      </c>
      <c r="E529" s="49" t="str">
        <f t="shared" si="1074"/>
        <v>MHQ-06</v>
      </c>
      <c r="F529" s="49">
        <f t="shared" si="1074"/>
        <v>1</v>
      </c>
      <c r="G529" s="49" t="str">
        <f t="shared" si="1074"/>
        <v>GOVT</v>
      </c>
      <c r="H529" s="49" t="str">
        <f t="shared" si="1074"/>
        <v>NON IPDS</v>
      </c>
      <c r="I529" s="49">
        <f t="shared" si="1074"/>
        <v>5</v>
      </c>
      <c r="J529" s="49" t="str">
        <f t="shared" si="1074"/>
        <v>LT3(II)</v>
      </c>
      <c r="K529" s="84">
        <f>'MHQ06'!Q65</f>
        <v>15030</v>
      </c>
      <c r="L529" s="84">
        <f>'MHQ06'!P65</f>
        <v>15398</v>
      </c>
      <c r="M529" s="84">
        <f t="shared" si="1027"/>
        <v>1</v>
      </c>
      <c r="N529" s="84">
        <f t="shared" ref="N529:N533" si="1075">(L529-K529)*M529</f>
        <v>368</v>
      </c>
      <c r="O529" s="84">
        <f>'MHQ06'!F65</f>
        <v>467.9</v>
      </c>
      <c r="P529" s="84">
        <f>'MHQ06'!E65</f>
        <v>485.9</v>
      </c>
      <c r="Q529" s="84">
        <f t="shared" si="1023"/>
        <v>0</v>
      </c>
      <c r="R529" s="84">
        <f t="shared" ref="R529:R533" si="1076">(P529-O529)*Q529</f>
        <v>0</v>
      </c>
      <c r="S529" s="84">
        <f>'MHQ06'!K65</f>
        <v>7647.1</v>
      </c>
      <c r="T529" s="84">
        <f>'MHQ06'!J65</f>
        <v>7997.1</v>
      </c>
      <c r="U529" s="84">
        <f t="shared" si="1049"/>
        <v>1</v>
      </c>
      <c r="V529" s="84">
        <f t="shared" ref="V529:V533" si="1077">(T529-S529)*U529</f>
        <v>350</v>
      </c>
      <c r="W529" s="84">
        <f>'MHQ06'!U65</f>
        <v>0.3</v>
      </c>
      <c r="X529" s="84">
        <f>'MHQ06'!V65</f>
        <v>0.98</v>
      </c>
      <c r="Y529" s="85">
        <f t="shared" ref="Y529:Y533" si="1078">N529/30/I529</f>
        <v>2.4533333333333336</v>
      </c>
      <c r="Z529" s="86"/>
      <c r="AA529" s="82"/>
    </row>
    <row r="530" spans="1:27" s="40" customFormat="1" ht="39.950000000000003" customHeight="1" x14ac:dyDescent="0.25">
      <c r="A530" s="49">
        <v>30</v>
      </c>
      <c r="B530" s="49" t="str">
        <f t="shared" si="1073"/>
        <v>Hampapura</v>
      </c>
      <c r="C530" s="49" t="str">
        <f t="shared" si="1073"/>
        <v>Hommaragalli /1741</v>
      </c>
      <c r="D530" s="49" t="str">
        <f t="shared" si="1073"/>
        <v>Section Office</v>
      </c>
      <c r="E530" s="49" t="str">
        <f t="shared" si="1073"/>
        <v>MHQ-06</v>
      </c>
      <c r="F530" s="49">
        <f t="shared" si="1073"/>
        <v>1</v>
      </c>
      <c r="G530" s="49" t="str">
        <f t="shared" si="1073"/>
        <v>GOVT</v>
      </c>
      <c r="H530" s="49" t="str">
        <f t="shared" si="1073"/>
        <v>NON IPDS</v>
      </c>
      <c r="I530" s="49">
        <f t="shared" si="1073"/>
        <v>5</v>
      </c>
      <c r="J530" s="49" t="str">
        <f t="shared" si="1073"/>
        <v>LT3(II)</v>
      </c>
      <c r="K530" s="84">
        <f>'MHQ06'!Q66</f>
        <v>15398</v>
      </c>
      <c r="L530" s="84">
        <f>'MHQ06'!P66</f>
        <v>15658.4</v>
      </c>
      <c r="M530" s="84">
        <f t="shared" si="1027"/>
        <v>1</v>
      </c>
      <c r="N530" s="84">
        <f t="shared" si="1075"/>
        <v>260.39999999999964</v>
      </c>
      <c r="O530" s="84">
        <f>'MHQ06'!F66</f>
        <v>485.9</v>
      </c>
      <c r="P530" s="84">
        <f>'MHQ06'!E66</f>
        <v>518.1</v>
      </c>
      <c r="Q530" s="84">
        <f t="shared" si="1023"/>
        <v>0</v>
      </c>
      <c r="R530" s="84">
        <f t="shared" si="1076"/>
        <v>0</v>
      </c>
      <c r="S530" s="84">
        <f>'MHQ06'!K66</f>
        <v>7997.1</v>
      </c>
      <c r="T530" s="84">
        <f>'MHQ06'!J66</f>
        <v>8235.7999999999993</v>
      </c>
      <c r="U530" s="84">
        <f t="shared" si="1049"/>
        <v>1</v>
      </c>
      <c r="V530" s="84">
        <f t="shared" si="1077"/>
        <v>238.69999999999891</v>
      </c>
      <c r="W530" s="84">
        <f>'MHQ06'!U66</f>
        <v>2.4E-2</v>
      </c>
      <c r="X530" s="84">
        <f>'MHQ06'!V66</f>
        <v>0.85</v>
      </c>
      <c r="Y530" s="85">
        <f t="shared" si="1078"/>
        <v>1.7359999999999975</v>
      </c>
      <c r="Z530" s="86"/>
      <c r="AA530" s="82"/>
    </row>
    <row r="531" spans="1:27" s="40" customFormat="1" ht="39.950000000000003" hidden="1" customHeight="1" x14ac:dyDescent="0.25">
      <c r="A531" s="49">
        <v>31</v>
      </c>
      <c r="B531" s="49" t="str">
        <f t="shared" ref="B531:J531" si="1079">B530</f>
        <v>Hampapura</v>
      </c>
      <c r="C531" s="49" t="str">
        <f t="shared" si="1079"/>
        <v>Hommaragalli /1741</v>
      </c>
      <c r="D531" s="49" t="str">
        <f t="shared" si="1079"/>
        <v>Section Office</v>
      </c>
      <c r="E531" s="49" t="str">
        <f t="shared" si="1079"/>
        <v>MHQ-06</v>
      </c>
      <c r="F531" s="49">
        <f t="shared" si="1079"/>
        <v>1</v>
      </c>
      <c r="G531" s="49" t="str">
        <f t="shared" si="1079"/>
        <v>GOVT</v>
      </c>
      <c r="H531" s="49" t="str">
        <f t="shared" si="1079"/>
        <v>NON IPDS</v>
      </c>
      <c r="I531" s="49">
        <f t="shared" si="1079"/>
        <v>5</v>
      </c>
      <c r="J531" s="49" t="str">
        <f t="shared" si="1079"/>
        <v>LT3(II)</v>
      </c>
      <c r="K531" s="84">
        <f>'MHQ06'!Q67</f>
        <v>15658.4</v>
      </c>
      <c r="L531" s="84">
        <f>'MHQ06'!P67</f>
        <v>16007</v>
      </c>
      <c r="M531" s="84">
        <f t="shared" si="1027"/>
        <v>1</v>
      </c>
      <c r="N531" s="84">
        <f t="shared" si="1075"/>
        <v>348.60000000000036</v>
      </c>
      <c r="O531" s="84">
        <f>'MHQ06'!F67</f>
        <v>518.1</v>
      </c>
      <c r="P531" s="84">
        <f>'MHQ06'!E67</f>
        <v>534.5</v>
      </c>
      <c r="Q531" s="84">
        <f t="shared" si="1023"/>
        <v>0</v>
      </c>
      <c r="R531" s="84">
        <f t="shared" si="1076"/>
        <v>0</v>
      </c>
      <c r="S531" s="84">
        <f>'MHQ06'!K67</f>
        <v>8235.7999999999993</v>
      </c>
      <c r="T531" s="84">
        <f>'MHQ06'!J67</f>
        <v>8628</v>
      </c>
      <c r="U531" s="84">
        <f t="shared" si="1049"/>
        <v>1</v>
      </c>
      <c r="V531" s="84">
        <f t="shared" si="1077"/>
        <v>392.20000000000073</v>
      </c>
      <c r="W531" s="84"/>
      <c r="X531" s="84"/>
      <c r="Y531" s="85">
        <f t="shared" si="1078"/>
        <v>2.3240000000000025</v>
      </c>
      <c r="Z531" s="86"/>
      <c r="AA531" s="82"/>
    </row>
    <row r="532" spans="1:27" s="40" customFormat="1" ht="39.950000000000003" hidden="1" customHeight="1" x14ac:dyDescent="0.25">
      <c r="A532" s="49">
        <v>32</v>
      </c>
      <c r="B532" s="49" t="str">
        <f t="shared" ref="B532:J532" si="1080">B531</f>
        <v>Hampapura</v>
      </c>
      <c r="C532" s="49" t="str">
        <f t="shared" si="1080"/>
        <v>Hommaragalli /1741</v>
      </c>
      <c r="D532" s="49" t="str">
        <f t="shared" si="1080"/>
        <v>Section Office</v>
      </c>
      <c r="E532" s="49" t="str">
        <f t="shared" si="1080"/>
        <v>MHQ-06</v>
      </c>
      <c r="F532" s="49">
        <f t="shared" si="1080"/>
        <v>1</v>
      </c>
      <c r="G532" s="49" t="str">
        <f t="shared" si="1080"/>
        <v>GOVT</v>
      </c>
      <c r="H532" s="49" t="str">
        <f t="shared" si="1080"/>
        <v>NON IPDS</v>
      </c>
      <c r="I532" s="49">
        <f t="shared" si="1080"/>
        <v>5</v>
      </c>
      <c r="J532" s="49" t="str">
        <f t="shared" si="1080"/>
        <v>LT3(II)</v>
      </c>
      <c r="K532" s="84">
        <f>'MHQ06'!Q68</f>
        <v>16007</v>
      </c>
      <c r="L532" s="84">
        <f>'MHQ06'!P68</f>
        <v>16282</v>
      </c>
      <c r="M532" s="84">
        <f t="shared" si="1027"/>
        <v>1</v>
      </c>
      <c r="N532" s="84">
        <f t="shared" si="1075"/>
        <v>275</v>
      </c>
      <c r="O532" s="84">
        <f>'MHQ06'!F68</f>
        <v>534.5</v>
      </c>
      <c r="P532" s="84">
        <f>'MHQ06'!E68</f>
        <v>552</v>
      </c>
      <c r="Q532" s="84">
        <f t="shared" si="1023"/>
        <v>1</v>
      </c>
      <c r="R532" s="84">
        <f t="shared" si="1076"/>
        <v>17.5</v>
      </c>
      <c r="S532" s="84">
        <f>'MHQ06'!K68</f>
        <v>8628</v>
      </c>
      <c r="T532" s="84">
        <f>'MHQ06'!J68</f>
        <v>8902</v>
      </c>
      <c r="U532" s="84">
        <f t="shared" si="1049"/>
        <v>1</v>
      </c>
      <c r="V532" s="84">
        <f t="shared" si="1077"/>
        <v>274</v>
      </c>
      <c r="W532" s="84"/>
      <c r="X532" s="84"/>
      <c r="Y532" s="85">
        <f t="shared" si="1078"/>
        <v>1.8333333333333333</v>
      </c>
      <c r="Z532" s="86"/>
      <c r="AA532" s="82"/>
    </row>
    <row r="533" spans="1:27" s="40" customFormat="1" ht="39.950000000000003" hidden="1" customHeight="1" x14ac:dyDescent="0.25">
      <c r="A533" s="49">
        <v>33</v>
      </c>
      <c r="B533" s="49" t="str">
        <f t="shared" ref="B533:J533" si="1081">B532</f>
        <v>Hampapura</v>
      </c>
      <c r="C533" s="49" t="str">
        <f t="shared" si="1081"/>
        <v>Hommaragalli /1741</v>
      </c>
      <c r="D533" s="49" t="str">
        <f t="shared" si="1081"/>
        <v>Section Office</v>
      </c>
      <c r="E533" s="49" t="str">
        <f t="shared" si="1081"/>
        <v>MHQ-06</v>
      </c>
      <c r="F533" s="49">
        <f t="shared" si="1081"/>
        <v>1</v>
      </c>
      <c r="G533" s="49" t="str">
        <f t="shared" si="1081"/>
        <v>GOVT</v>
      </c>
      <c r="H533" s="49" t="str">
        <f t="shared" si="1081"/>
        <v>NON IPDS</v>
      </c>
      <c r="I533" s="49">
        <f t="shared" si="1081"/>
        <v>5</v>
      </c>
      <c r="J533" s="49" t="str">
        <f t="shared" si="1081"/>
        <v>LT3(II)</v>
      </c>
      <c r="K533" s="84">
        <f>'MHQ06'!Q69</f>
        <v>16282</v>
      </c>
      <c r="L533" s="84">
        <f>'MHQ06'!P69</f>
        <v>16964.900000000001</v>
      </c>
      <c r="M533" s="84">
        <f t="shared" si="1027"/>
        <v>1</v>
      </c>
      <c r="N533" s="84">
        <f t="shared" si="1075"/>
        <v>682.90000000000146</v>
      </c>
      <c r="O533" s="84">
        <f>'MHQ06'!F69</f>
        <v>552</v>
      </c>
      <c r="P533" s="84">
        <f>'MHQ06'!E69</f>
        <v>574.4</v>
      </c>
      <c r="Q533" s="84">
        <f t="shared" si="1023"/>
        <v>0</v>
      </c>
      <c r="R533" s="84">
        <f t="shared" si="1076"/>
        <v>0</v>
      </c>
      <c r="S533" s="84">
        <f>'MHQ06'!K69</f>
        <v>8902</v>
      </c>
      <c r="T533" s="84">
        <f>'MHQ06'!J69</f>
        <v>9479.1</v>
      </c>
      <c r="U533" s="84">
        <f t="shared" si="1049"/>
        <v>1</v>
      </c>
      <c r="V533" s="84">
        <f t="shared" si="1077"/>
        <v>577.10000000000036</v>
      </c>
      <c r="W533" s="84"/>
      <c r="X533" s="84"/>
      <c r="Y533" s="85">
        <f t="shared" si="1078"/>
        <v>4.552666666666676</v>
      </c>
      <c r="Z533" s="86"/>
      <c r="AA533" s="82"/>
    </row>
    <row r="534" spans="1:27" s="40" customFormat="1" ht="39.950000000000003" hidden="1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5"/>
      <c r="Z534" s="86"/>
      <c r="AA534" s="82"/>
    </row>
    <row r="535" spans="1:27" s="40" customFormat="1" ht="39.950000000000003" hidden="1" customHeight="1" x14ac:dyDescent="0.25">
      <c r="A535" s="49">
        <v>1</v>
      </c>
      <c r="B535" s="49" t="s">
        <v>43</v>
      </c>
      <c r="C535" s="57" t="s">
        <v>229</v>
      </c>
      <c r="D535" s="59" t="s">
        <v>230</v>
      </c>
      <c r="E535" s="55" t="s">
        <v>41</v>
      </c>
      <c r="F535" s="50">
        <v>2.6</v>
      </c>
      <c r="G535" s="49" t="s">
        <v>221</v>
      </c>
      <c r="H535" s="64" t="s">
        <v>222</v>
      </c>
      <c r="I535" s="49">
        <v>5</v>
      </c>
      <c r="J535" s="49" t="s">
        <v>92</v>
      </c>
      <c r="K535" s="84">
        <f>HDTL56522!Q31</f>
        <v>11090.4</v>
      </c>
      <c r="L535" s="84">
        <f>HDTL56522!P31</f>
        <v>11528.6</v>
      </c>
      <c r="M535" s="84">
        <f>'[1]April-18'!M30</f>
        <v>1</v>
      </c>
      <c r="N535" s="84">
        <f t="shared" si="0"/>
        <v>438.20000000000073</v>
      </c>
      <c r="O535" s="84">
        <f>HDTL56522!F31:F31</f>
        <v>962.7</v>
      </c>
      <c r="P535" s="84">
        <f>HDTL56522!E31</f>
        <v>1010.2</v>
      </c>
      <c r="Q535" s="84">
        <v>1</v>
      </c>
      <c r="R535" s="84">
        <f t="shared" si="683"/>
        <v>47.5</v>
      </c>
      <c r="S535" s="84">
        <f>HDTL56522!K31</f>
        <v>9210.2999999999993</v>
      </c>
      <c r="T535" s="84">
        <f>HDTL56522!J31</f>
        <v>9521.6</v>
      </c>
      <c r="U535" s="84">
        <f>'[1]April-18'!U30</f>
        <v>1</v>
      </c>
      <c r="V535" s="84">
        <f t="shared" si="684"/>
        <v>311.30000000000109</v>
      </c>
      <c r="W535" s="84"/>
      <c r="X535" s="84"/>
      <c r="Y535" s="85">
        <f t="shared" si="917"/>
        <v>2.921333333333338</v>
      </c>
      <c r="Z535" s="84"/>
      <c r="AA535" s="82" t="str">
        <f>HDTL56522!B31</f>
        <v>01.08.2019</v>
      </c>
    </row>
    <row r="536" spans="1:27" s="40" customFormat="1" ht="39.950000000000003" hidden="1" customHeight="1" x14ac:dyDescent="0.25">
      <c r="A536" s="49">
        <v>2</v>
      </c>
      <c r="B536" s="49" t="str">
        <f>B535</f>
        <v>H D Kote</v>
      </c>
      <c r="C536" s="49" t="str">
        <f t="shared" ref="C536:J537" si="1082">C535</f>
        <v>HDKOTE/1714</v>
      </c>
      <c r="D536" s="49" t="str">
        <f t="shared" si="1082"/>
        <v>PUC College</v>
      </c>
      <c r="E536" s="49" t="str">
        <f t="shared" si="1082"/>
        <v>HDTL56522</v>
      </c>
      <c r="F536" s="49">
        <f t="shared" si="1082"/>
        <v>2.6</v>
      </c>
      <c r="G536" s="49" t="str">
        <f t="shared" si="1082"/>
        <v>GOVT</v>
      </c>
      <c r="H536" s="49" t="str">
        <f t="shared" si="1082"/>
        <v>IPDS</v>
      </c>
      <c r="I536" s="49">
        <f t="shared" si="1082"/>
        <v>5</v>
      </c>
      <c r="J536" s="49" t="str">
        <f t="shared" si="1082"/>
        <v>LT2B(I)</v>
      </c>
      <c r="K536" s="84">
        <f>HDTL56522!Q32</f>
        <v>11528.6</v>
      </c>
      <c r="L536" s="84">
        <f>HDTL56522!P32</f>
        <v>11857</v>
      </c>
      <c r="M536" s="84">
        <f>'[1]April-18'!M31</f>
        <v>1</v>
      </c>
      <c r="N536" s="84">
        <f t="shared" si="0"/>
        <v>328.39999999999964</v>
      </c>
      <c r="O536" s="84">
        <f>HDTL56522!F32:F32</f>
        <v>1010.2</v>
      </c>
      <c r="P536" s="84">
        <f>HDTL56522!E32</f>
        <v>1068.4000000000001</v>
      </c>
      <c r="Q536" s="84">
        <f>Q535</f>
        <v>1</v>
      </c>
      <c r="R536" s="84">
        <f t="shared" si="683"/>
        <v>58.200000000000045</v>
      </c>
      <c r="S536" s="84">
        <f>HDTL56522!K32</f>
        <v>9521.6</v>
      </c>
      <c r="T536" s="84">
        <f>HDTL56522!J32</f>
        <v>9794.7999999999993</v>
      </c>
      <c r="U536" s="84">
        <f>'[1]April-18'!U31</f>
        <v>1</v>
      </c>
      <c r="V536" s="84">
        <f t="shared" si="684"/>
        <v>273.19999999999891</v>
      </c>
      <c r="W536" s="84"/>
      <c r="X536" s="84"/>
      <c r="Y536" s="85">
        <f t="shared" si="917"/>
        <v>2.1893333333333311</v>
      </c>
      <c r="Z536" s="84"/>
      <c r="AA536" s="82" t="str">
        <f>HDTL56522!B32</f>
        <v>01.09.2019</v>
      </c>
    </row>
    <row r="537" spans="1:27" s="40" customFormat="1" ht="39.950000000000003" hidden="1" customHeight="1" x14ac:dyDescent="0.25">
      <c r="A537" s="49">
        <v>3</v>
      </c>
      <c r="B537" s="49" t="str">
        <f>B536</f>
        <v>H D Kote</v>
      </c>
      <c r="C537" s="49" t="str">
        <f t="shared" si="1082"/>
        <v>HDKOTE/1714</v>
      </c>
      <c r="D537" s="49" t="str">
        <f t="shared" si="1082"/>
        <v>PUC College</v>
      </c>
      <c r="E537" s="49" t="str">
        <f t="shared" si="1082"/>
        <v>HDTL56522</v>
      </c>
      <c r="F537" s="49">
        <f t="shared" si="1082"/>
        <v>2.6</v>
      </c>
      <c r="G537" s="49" t="str">
        <f t="shared" si="1082"/>
        <v>GOVT</v>
      </c>
      <c r="H537" s="49" t="str">
        <f t="shared" si="1082"/>
        <v>IPDS</v>
      </c>
      <c r="I537" s="49">
        <f t="shared" si="1082"/>
        <v>5</v>
      </c>
      <c r="J537" s="49" t="str">
        <f t="shared" si="1082"/>
        <v>LT2B(I)</v>
      </c>
      <c r="K537" s="84">
        <f>HDTL56522!Q33</f>
        <v>11857</v>
      </c>
      <c r="L537" s="84">
        <f>HDTL56522!P33</f>
        <v>12192</v>
      </c>
      <c r="M537" s="84">
        <f>'[1]April-18'!M32</f>
        <v>1</v>
      </c>
      <c r="N537" s="84">
        <f t="shared" si="0"/>
        <v>335</v>
      </c>
      <c r="O537" s="84">
        <f>HDTL56522!F33:F33</f>
        <v>1068.4000000000001</v>
      </c>
      <c r="P537" s="84">
        <f>HDTL56522!E33</f>
        <v>1103.4000000000001</v>
      </c>
      <c r="Q537" s="84">
        <f>Q536</f>
        <v>1</v>
      </c>
      <c r="R537" s="84">
        <f t="shared" si="683"/>
        <v>35</v>
      </c>
      <c r="S537" s="84">
        <f>HDTL56522!K33</f>
        <v>9794.7999999999993</v>
      </c>
      <c r="T537" s="84">
        <f>HDTL56522!J33</f>
        <v>10086.799999999999</v>
      </c>
      <c r="U537" s="84">
        <f>'[1]April-18'!U32</f>
        <v>1</v>
      </c>
      <c r="V537" s="84">
        <f t="shared" si="684"/>
        <v>292</v>
      </c>
      <c r="W537" s="84"/>
      <c r="X537" s="84"/>
      <c r="Y537" s="85">
        <f t="shared" si="917"/>
        <v>2.2333333333333334</v>
      </c>
      <c r="Z537" s="84"/>
      <c r="AA537" s="82" t="str">
        <f>HDTL56522!B33</f>
        <v>01.10.2019</v>
      </c>
    </row>
    <row r="538" spans="1:27" s="40" customFormat="1" ht="39.950000000000003" hidden="1" customHeight="1" x14ac:dyDescent="0.25">
      <c r="A538" s="49">
        <v>4</v>
      </c>
      <c r="B538" s="49" t="str">
        <f t="shared" ref="B538:J541" si="1083">B537</f>
        <v>H D Kote</v>
      </c>
      <c r="C538" s="49" t="str">
        <f t="shared" si="1083"/>
        <v>HDKOTE/1714</v>
      </c>
      <c r="D538" s="49" t="str">
        <f t="shared" si="1083"/>
        <v>PUC College</v>
      </c>
      <c r="E538" s="49" t="str">
        <f t="shared" si="1083"/>
        <v>HDTL56522</v>
      </c>
      <c r="F538" s="49">
        <f t="shared" si="1083"/>
        <v>2.6</v>
      </c>
      <c r="G538" s="49" t="str">
        <f t="shared" si="1083"/>
        <v>GOVT</v>
      </c>
      <c r="H538" s="49" t="str">
        <f t="shared" si="1083"/>
        <v>IPDS</v>
      </c>
      <c r="I538" s="49">
        <f t="shared" si="1083"/>
        <v>5</v>
      </c>
      <c r="J538" s="49" t="str">
        <f t="shared" si="1083"/>
        <v>LT2B(I)</v>
      </c>
      <c r="K538" s="84">
        <f>HDTL56522!Q34</f>
        <v>12192</v>
      </c>
      <c r="L538" s="84">
        <f>HDTL56522!P34</f>
        <v>12704</v>
      </c>
      <c r="M538" s="84">
        <f>M537</f>
        <v>1</v>
      </c>
      <c r="N538" s="84">
        <f t="shared" si="0"/>
        <v>512</v>
      </c>
      <c r="O538" s="84">
        <f>HDTL56522!F34:F34</f>
        <v>1103.4000000000001</v>
      </c>
      <c r="P538" s="84">
        <f>HDTL56522!E34</f>
        <v>1168.4000000000001</v>
      </c>
      <c r="Q538" s="84">
        <f t="shared" ref="Q538:Q566" si="1084">Q537</f>
        <v>1</v>
      </c>
      <c r="R538" s="84">
        <f t="shared" si="683"/>
        <v>65</v>
      </c>
      <c r="S538" s="84">
        <f>HDTL56522!K34</f>
        <v>10086.799999999999</v>
      </c>
      <c r="T538" s="84">
        <f>HDTL56522!J34</f>
        <v>10586</v>
      </c>
      <c r="U538" s="84">
        <f>U537</f>
        <v>1</v>
      </c>
      <c r="V538" s="84">
        <f t="shared" si="684"/>
        <v>499.20000000000073</v>
      </c>
      <c r="W538" s="84"/>
      <c r="X538" s="84"/>
      <c r="Y538" s="85">
        <f t="shared" si="917"/>
        <v>3.4133333333333331</v>
      </c>
      <c r="Z538" s="84"/>
      <c r="AA538" s="82" t="str">
        <f>HDTL56522!B34</f>
        <v>01.11.2019</v>
      </c>
    </row>
    <row r="539" spans="1:27" s="40" customFormat="1" ht="39.950000000000003" hidden="1" customHeight="1" x14ac:dyDescent="0.25">
      <c r="A539" s="49">
        <v>5</v>
      </c>
      <c r="B539" s="49" t="str">
        <f t="shared" si="1083"/>
        <v>H D Kote</v>
      </c>
      <c r="C539" s="49" t="str">
        <f t="shared" si="1083"/>
        <v>HDKOTE/1714</v>
      </c>
      <c r="D539" s="49" t="str">
        <f t="shared" si="1083"/>
        <v>PUC College</v>
      </c>
      <c r="E539" s="49" t="str">
        <f t="shared" si="1083"/>
        <v>HDTL56522</v>
      </c>
      <c r="F539" s="49">
        <f t="shared" si="1083"/>
        <v>2.6</v>
      </c>
      <c r="G539" s="49" t="str">
        <f t="shared" si="1083"/>
        <v>GOVT</v>
      </c>
      <c r="H539" s="49" t="str">
        <f t="shared" si="1083"/>
        <v>IPDS</v>
      </c>
      <c r="I539" s="49">
        <f t="shared" si="1083"/>
        <v>5</v>
      </c>
      <c r="J539" s="49" t="str">
        <f t="shared" si="1083"/>
        <v>LT2B(I)</v>
      </c>
      <c r="K539" s="84">
        <f>HDTL56522!Q35</f>
        <v>12704</v>
      </c>
      <c r="L539" s="84">
        <f>HDTL56522!P35</f>
        <v>13192</v>
      </c>
      <c r="M539" s="84">
        <f>'[1]April-18'!M34</f>
        <v>1</v>
      </c>
      <c r="N539" s="84">
        <f t="shared" si="0"/>
        <v>488</v>
      </c>
      <c r="O539" s="84">
        <f>HDTL56522!F35:F35</f>
        <v>1168.4000000000001</v>
      </c>
      <c r="P539" s="84">
        <f>HDTL56522!E35</f>
        <v>1213.4000000000001</v>
      </c>
      <c r="Q539" s="84">
        <f t="shared" si="1084"/>
        <v>1</v>
      </c>
      <c r="R539" s="84">
        <f t="shared" si="683"/>
        <v>45</v>
      </c>
      <c r="S539" s="84">
        <f>HDTL56522!K35</f>
        <v>10586</v>
      </c>
      <c r="T539" s="84">
        <f>HDTL56522!J35</f>
        <v>11057.3</v>
      </c>
      <c r="U539" s="84">
        <f>'[1]April-18'!U34</f>
        <v>1</v>
      </c>
      <c r="V539" s="84">
        <f t="shared" si="684"/>
        <v>471.29999999999927</v>
      </c>
      <c r="W539" s="84"/>
      <c r="X539" s="84"/>
      <c r="Y539" s="85">
        <f t="shared" si="917"/>
        <v>3.253333333333333</v>
      </c>
      <c r="Z539" s="84"/>
      <c r="AA539" s="82" t="str">
        <f>HDTL56522!B35</f>
        <v>01.12.2019</v>
      </c>
    </row>
    <row r="540" spans="1:27" s="40" customFormat="1" ht="39.950000000000003" hidden="1" customHeight="1" x14ac:dyDescent="0.25">
      <c r="A540" s="49">
        <v>6</v>
      </c>
      <c r="B540" s="49" t="str">
        <f t="shared" si="1083"/>
        <v>H D Kote</v>
      </c>
      <c r="C540" s="49" t="str">
        <f t="shared" si="1083"/>
        <v>HDKOTE/1714</v>
      </c>
      <c r="D540" s="49" t="str">
        <f t="shared" si="1083"/>
        <v>PUC College</v>
      </c>
      <c r="E540" s="49" t="str">
        <f t="shared" si="1083"/>
        <v>HDTL56522</v>
      </c>
      <c r="F540" s="49">
        <f t="shared" si="1083"/>
        <v>2.6</v>
      </c>
      <c r="G540" s="49" t="str">
        <f t="shared" si="1083"/>
        <v>GOVT</v>
      </c>
      <c r="H540" s="49" t="str">
        <f t="shared" si="1083"/>
        <v>IPDS</v>
      </c>
      <c r="I540" s="49">
        <f t="shared" si="1083"/>
        <v>5</v>
      </c>
      <c r="J540" s="49" t="str">
        <f t="shared" si="1083"/>
        <v>LT2B(I)</v>
      </c>
      <c r="K540" s="84">
        <f>HDTL56522!Q36</f>
        <v>13192</v>
      </c>
      <c r="L540" s="84">
        <f>HDTL56522!P36</f>
        <v>13642</v>
      </c>
      <c r="M540" s="84">
        <f>M539</f>
        <v>1</v>
      </c>
      <c r="N540" s="84">
        <f t="shared" si="0"/>
        <v>450</v>
      </c>
      <c r="O540" s="84">
        <f>HDTL56522!F36:F36</f>
        <v>1213.4000000000001</v>
      </c>
      <c r="P540" s="84">
        <f>HDTL56522!E36</f>
        <v>1270.4000000000001</v>
      </c>
      <c r="Q540" s="84">
        <f t="shared" si="1084"/>
        <v>1</v>
      </c>
      <c r="R540" s="84">
        <f t="shared" si="683"/>
        <v>57</v>
      </c>
      <c r="S540" s="84">
        <f>HDTL56522!K36</f>
        <v>11057.3</v>
      </c>
      <c r="T540" s="84">
        <f>HDTL56522!J36</f>
        <v>11469</v>
      </c>
      <c r="U540" s="84">
        <f>U539</f>
        <v>1</v>
      </c>
      <c r="V540" s="84">
        <f t="shared" si="684"/>
        <v>411.70000000000073</v>
      </c>
      <c r="W540" s="84"/>
      <c r="X540" s="84"/>
      <c r="Y540" s="85">
        <f t="shared" si="917"/>
        <v>3</v>
      </c>
      <c r="Z540" s="84"/>
      <c r="AA540" s="82" t="str">
        <f>HDTL56522!B36</f>
        <v>01.01.2020</v>
      </c>
    </row>
    <row r="541" spans="1:27" s="40" customFormat="1" ht="39.950000000000003" hidden="1" customHeight="1" x14ac:dyDescent="0.25">
      <c r="A541" s="49">
        <v>7</v>
      </c>
      <c r="B541" s="49" t="str">
        <f t="shared" si="1083"/>
        <v>H D Kote</v>
      </c>
      <c r="C541" s="49" t="str">
        <f t="shared" si="1083"/>
        <v>HDKOTE/1714</v>
      </c>
      <c r="D541" s="49" t="str">
        <f t="shared" si="1083"/>
        <v>PUC College</v>
      </c>
      <c r="E541" s="49" t="str">
        <f t="shared" si="1083"/>
        <v>HDTL56522</v>
      </c>
      <c r="F541" s="49">
        <f t="shared" si="1083"/>
        <v>2.6</v>
      </c>
      <c r="G541" s="49" t="str">
        <f t="shared" si="1083"/>
        <v>GOVT</v>
      </c>
      <c r="H541" s="49" t="str">
        <f t="shared" si="1083"/>
        <v>IPDS</v>
      </c>
      <c r="I541" s="49">
        <f t="shared" si="1083"/>
        <v>5</v>
      </c>
      <c r="J541" s="49" t="str">
        <f t="shared" si="1083"/>
        <v>LT2B(I)</v>
      </c>
      <c r="K541" s="84">
        <f>HDTL56522!Q37</f>
        <v>13642</v>
      </c>
      <c r="L541" s="84">
        <f>HDTL56522!P37</f>
        <v>14176</v>
      </c>
      <c r="M541" s="84">
        <f>'[1]April-18'!M36</f>
        <v>1</v>
      </c>
      <c r="N541" s="84">
        <f t="shared" si="0"/>
        <v>534</v>
      </c>
      <c r="O541" s="84">
        <f>HDTL56522!F37:F37</f>
        <v>1270.4000000000001</v>
      </c>
      <c r="P541" s="84">
        <f>HDTL56522!E37</f>
        <v>1319.6</v>
      </c>
      <c r="Q541" s="84">
        <f t="shared" si="1084"/>
        <v>1</v>
      </c>
      <c r="R541" s="84">
        <f t="shared" si="683"/>
        <v>49.199999999999818</v>
      </c>
      <c r="S541" s="84">
        <f>HDTL56522!K37</f>
        <v>11469</v>
      </c>
      <c r="T541" s="84">
        <f>HDTL56522!J37</f>
        <v>11991.3</v>
      </c>
      <c r="U541" s="84">
        <f>'[1]April-18'!U36</f>
        <v>1</v>
      </c>
      <c r="V541" s="84">
        <f t="shared" si="684"/>
        <v>522.29999999999927</v>
      </c>
      <c r="W541" s="84"/>
      <c r="X541" s="84"/>
      <c r="Y541" s="85">
        <f t="shared" si="917"/>
        <v>3.56</v>
      </c>
      <c r="Z541" s="84"/>
      <c r="AA541" s="82" t="s">
        <v>253</v>
      </c>
    </row>
    <row r="542" spans="1:27" s="40" customFormat="1" ht="39.950000000000003" hidden="1" customHeight="1" x14ac:dyDescent="0.25">
      <c r="A542" s="49">
        <v>8</v>
      </c>
      <c r="B542" s="49" t="str">
        <f t="shared" ref="B542:J542" si="1085">B541</f>
        <v>H D Kote</v>
      </c>
      <c r="C542" s="49" t="str">
        <f t="shared" si="1085"/>
        <v>HDKOTE/1714</v>
      </c>
      <c r="D542" s="49" t="str">
        <f t="shared" si="1085"/>
        <v>PUC College</v>
      </c>
      <c r="E542" s="49" t="str">
        <f t="shared" si="1085"/>
        <v>HDTL56522</v>
      </c>
      <c r="F542" s="49">
        <f t="shared" si="1085"/>
        <v>2.6</v>
      </c>
      <c r="G542" s="49" t="str">
        <f t="shared" si="1085"/>
        <v>GOVT</v>
      </c>
      <c r="H542" s="49" t="str">
        <f t="shared" si="1085"/>
        <v>IPDS</v>
      </c>
      <c r="I542" s="49">
        <f t="shared" si="1085"/>
        <v>5</v>
      </c>
      <c r="J542" s="49" t="str">
        <f t="shared" si="1085"/>
        <v>LT2B(I)</v>
      </c>
      <c r="K542" s="84">
        <f>HDTL56522!Q38</f>
        <v>14176</v>
      </c>
      <c r="L542" s="84">
        <f>HDTL56522!P38</f>
        <v>14687</v>
      </c>
      <c r="M542" s="84">
        <f t="shared" ref="M542" si="1086">M541</f>
        <v>1</v>
      </c>
      <c r="N542" s="84">
        <f t="shared" ref="N542:N547" si="1087">(L542-K542)*M542</f>
        <v>511</v>
      </c>
      <c r="O542" s="84">
        <f>HDTL56522!F38:F38</f>
        <v>1319.6</v>
      </c>
      <c r="P542" s="84">
        <f>HDTL56522!E38</f>
        <v>1363</v>
      </c>
      <c r="Q542" s="84">
        <f t="shared" si="1084"/>
        <v>1</v>
      </c>
      <c r="R542" s="84">
        <f t="shared" ref="R542:R547" si="1088">(P542-O542)*Q542</f>
        <v>43.400000000000091</v>
      </c>
      <c r="S542" s="84">
        <f>HDTL56522!K38</f>
        <v>11991.3</v>
      </c>
      <c r="T542" s="84">
        <f>HDTL56522!J38</f>
        <v>12491.3</v>
      </c>
      <c r="U542" s="84">
        <f t="shared" ref="U542" si="1089">U541</f>
        <v>1</v>
      </c>
      <c r="V542" s="84">
        <f t="shared" ref="V542:V547" si="1090">(T542-S542)*U542</f>
        <v>500</v>
      </c>
      <c r="W542" s="84"/>
      <c r="X542" s="84"/>
      <c r="Y542" s="85">
        <f t="shared" ref="Y542:Y547" si="1091">N542/30/I542</f>
        <v>3.4066666666666672</v>
      </c>
      <c r="Z542" s="84"/>
      <c r="AA542" s="82" t="s">
        <v>254</v>
      </c>
    </row>
    <row r="543" spans="1:27" s="40" customFormat="1" ht="39.950000000000003" hidden="1" customHeight="1" x14ac:dyDescent="0.25">
      <c r="A543" s="49">
        <v>9</v>
      </c>
      <c r="B543" s="49" t="str">
        <f t="shared" ref="B543:J543" si="1092">B542</f>
        <v>H D Kote</v>
      </c>
      <c r="C543" s="49" t="str">
        <f t="shared" si="1092"/>
        <v>HDKOTE/1714</v>
      </c>
      <c r="D543" s="49" t="str">
        <f t="shared" si="1092"/>
        <v>PUC College</v>
      </c>
      <c r="E543" s="49" t="str">
        <f t="shared" si="1092"/>
        <v>HDTL56522</v>
      </c>
      <c r="F543" s="49">
        <f t="shared" si="1092"/>
        <v>2.6</v>
      </c>
      <c r="G543" s="49" t="str">
        <f t="shared" si="1092"/>
        <v>GOVT</v>
      </c>
      <c r="H543" s="49" t="str">
        <f t="shared" si="1092"/>
        <v>IPDS</v>
      </c>
      <c r="I543" s="49">
        <f t="shared" si="1092"/>
        <v>5</v>
      </c>
      <c r="J543" s="49" t="str">
        <f t="shared" si="1092"/>
        <v>LT2B(I)</v>
      </c>
      <c r="K543" s="84">
        <f>HDTL56522!Q39</f>
        <v>14687</v>
      </c>
      <c r="L543" s="84">
        <f>HDTL56522!P39</f>
        <v>15123</v>
      </c>
      <c r="M543" s="84">
        <f>M542</f>
        <v>1</v>
      </c>
      <c r="N543" s="84">
        <f t="shared" si="1087"/>
        <v>436</v>
      </c>
      <c r="O543" s="84">
        <f>HDTL56522!F39:F39</f>
        <v>1363</v>
      </c>
      <c r="P543" s="84">
        <f>HDTL56522!E39</f>
        <v>1408</v>
      </c>
      <c r="Q543" s="84">
        <f t="shared" si="1084"/>
        <v>1</v>
      </c>
      <c r="R543" s="84">
        <f t="shared" si="1088"/>
        <v>45</v>
      </c>
      <c r="S543" s="84">
        <f>HDTL56522!K39</f>
        <v>12491.3</v>
      </c>
      <c r="T543" s="84">
        <f>HDTL56522!J39</f>
        <v>12926.3</v>
      </c>
      <c r="U543" s="84">
        <f>U542</f>
        <v>1</v>
      </c>
      <c r="V543" s="84">
        <f t="shared" si="1090"/>
        <v>435</v>
      </c>
      <c r="W543" s="84"/>
      <c r="X543" s="84"/>
      <c r="Y543" s="85">
        <f t="shared" si="1091"/>
        <v>2.9066666666666667</v>
      </c>
      <c r="Z543" s="84"/>
      <c r="AA543" s="82" t="s">
        <v>258</v>
      </c>
    </row>
    <row r="544" spans="1:27" s="40" customFormat="1" ht="39.950000000000003" hidden="1" customHeight="1" x14ac:dyDescent="0.25">
      <c r="A544" s="49">
        <v>10</v>
      </c>
      <c r="B544" s="49" t="str">
        <f t="shared" ref="B544:J544" si="1093">B543</f>
        <v>H D Kote</v>
      </c>
      <c r="C544" s="49" t="str">
        <f t="shared" si="1093"/>
        <v>HDKOTE/1714</v>
      </c>
      <c r="D544" s="49" t="str">
        <f t="shared" si="1093"/>
        <v>PUC College</v>
      </c>
      <c r="E544" s="49" t="str">
        <f t="shared" si="1093"/>
        <v>HDTL56522</v>
      </c>
      <c r="F544" s="49">
        <f t="shared" si="1093"/>
        <v>2.6</v>
      </c>
      <c r="G544" s="49" t="str">
        <f t="shared" si="1093"/>
        <v>GOVT</v>
      </c>
      <c r="H544" s="49" t="str">
        <f t="shared" si="1093"/>
        <v>IPDS</v>
      </c>
      <c r="I544" s="49">
        <f t="shared" si="1093"/>
        <v>5</v>
      </c>
      <c r="J544" s="49" t="str">
        <f t="shared" si="1093"/>
        <v>LT2B(I)</v>
      </c>
      <c r="K544" s="84">
        <f>HDTL56522!Q40</f>
        <v>0</v>
      </c>
      <c r="L544" s="84">
        <f>HDTL56522!P40</f>
        <v>0</v>
      </c>
      <c r="M544" s="84">
        <f t="shared" ref="M544" si="1094">M543</f>
        <v>1</v>
      </c>
      <c r="N544" s="84">
        <f t="shared" si="1087"/>
        <v>0</v>
      </c>
      <c r="O544" s="84">
        <f>HDTL56522!F40:F40</f>
        <v>0</v>
      </c>
      <c r="P544" s="84">
        <f>HDTL56522!E40</f>
        <v>0</v>
      </c>
      <c r="Q544" s="84">
        <f t="shared" si="1084"/>
        <v>1</v>
      </c>
      <c r="R544" s="84">
        <f t="shared" si="1088"/>
        <v>0</v>
      </c>
      <c r="S544" s="84">
        <f>HDTL56522!K40</f>
        <v>0</v>
      </c>
      <c r="T544" s="84">
        <f>HDTL56522!J40</f>
        <v>0</v>
      </c>
      <c r="U544" s="84">
        <f t="shared" ref="U544" si="1095">U543</f>
        <v>1</v>
      </c>
      <c r="V544" s="84">
        <f t="shared" si="1090"/>
        <v>0</v>
      </c>
      <c r="W544" s="84"/>
      <c r="X544" s="84"/>
      <c r="Y544" s="85">
        <f t="shared" si="1091"/>
        <v>0</v>
      </c>
      <c r="Z544" s="84"/>
      <c r="AA544" s="82"/>
    </row>
    <row r="545" spans="1:27" s="40" customFormat="1" ht="39.950000000000003" hidden="1" customHeight="1" x14ac:dyDescent="0.25">
      <c r="A545" s="49">
        <v>11</v>
      </c>
      <c r="B545" s="49" t="str">
        <f t="shared" ref="B545:J545" si="1096">B544</f>
        <v>H D Kote</v>
      </c>
      <c r="C545" s="49" t="str">
        <f t="shared" si="1096"/>
        <v>HDKOTE/1714</v>
      </c>
      <c r="D545" s="49" t="str">
        <f t="shared" si="1096"/>
        <v>PUC College</v>
      </c>
      <c r="E545" s="49" t="str">
        <f t="shared" si="1096"/>
        <v>HDTL56522</v>
      </c>
      <c r="F545" s="49">
        <f t="shared" si="1096"/>
        <v>2.6</v>
      </c>
      <c r="G545" s="49" t="str">
        <f t="shared" si="1096"/>
        <v>GOVT</v>
      </c>
      <c r="H545" s="49" t="str">
        <f t="shared" si="1096"/>
        <v>IPDS</v>
      </c>
      <c r="I545" s="49">
        <f t="shared" si="1096"/>
        <v>5</v>
      </c>
      <c r="J545" s="49" t="str">
        <f t="shared" si="1096"/>
        <v>LT2B(I)</v>
      </c>
      <c r="K545" s="84">
        <f>HDTL56522!Q41</f>
        <v>15123</v>
      </c>
      <c r="L545" s="84">
        <f>HDTL56522!P41</f>
        <v>15510</v>
      </c>
      <c r="M545" s="84">
        <f>M544</f>
        <v>1</v>
      </c>
      <c r="N545" s="84">
        <f t="shared" si="1087"/>
        <v>387</v>
      </c>
      <c r="O545" s="84">
        <f>HDTL56522!F41:F41</f>
        <v>1408</v>
      </c>
      <c r="P545" s="84">
        <f>HDTL56522!E41</f>
        <v>1452</v>
      </c>
      <c r="Q545" s="84">
        <f t="shared" si="1084"/>
        <v>1</v>
      </c>
      <c r="R545" s="84">
        <f t="shared" si="1088"/>
        <v>44</v>
      </c>
      <c r="S545" s="84">
        <f>HDTL56522!K41</f>
        <v>12926.3</v>
      </c>
      <c r="T545" s="84">
        <f>HDTL56522!J41</f>
        <v>13368.3</v>
      </c>
      <c r="U545" s="84">
        <f>U544</f>
        <v>1</v>
      </c>
      <c r="V545" s="84">
        <f t="shared" si="1090"/>
        <v>442</v>
      </c>
      <c r="W545" s="84"/>
      <c r="X545" s="84"/>
      <c r="Y545" s="85">
        <f t="shared" si="1091"/>
        <v>2.58</v>
      </c>
      <c r="Z545" s="84"/>
      <c r="AA545" s="82" t="s">
        <v>259</v>
      </c>
    </row>
    <row r="546" spans="1:27" s="40" customFormat="1" ht="39.950000000000003" hidden="1" customHeight="1" x14ac:dyDescent="0.25">
      <c r="A546" s="49">
        <v>12</v>
      </c>
      <c r="B546" s="49" t="str">
        <f t="shared" ref="B546:J546" si="1097">B545</f>
        <v>H D Kote</v>
      </c>
      <c r="C546" s="49" t="str">
        <f t="shared" si="1097"/>
        <v>HDKOTE/1714</v>
      </c>
      <c r="D546" s="49" t="str">
        <f t="shared" si="1097"/>
        <v>PUC College</v>
      </c>
      <c r="E546" s="49" t="str">
        <f t="shared" si="1097"/>
        <v>HDTL56522</v>
      </c>
      <c r="F546" s="49">
        <f t="shared" si="1097"/>
        <v>2.6</v>
      </c>
      <c r="G546" s="49" t="str">
        <f t="shared" si="1097"/>
        <v>GOVT</v>
      </c>
      <c r="H546" s="49" t="str">
        <f t="shared" si="1097"/>
        <v>IPDS</v>
      </c>
      <c r="I546" s="49">
        <f t="shared" si="1097"/>
        <v>5</v>
      </c>
      <c r="J546" s="49" t="str">
        <f t="shared" si="1097"/>
        <v>LT2B(I)</v>
      </c>
      <c r="K546" s="84">
        <f>HDTL56522!Q42</f>
        <v>15510</v>
      </c>
      <c r="L546" s="84">
        <f>HDTL56522!P42</f>
        <v>15940</v>
      </c>
      <c r="M546" s="84">
        <f t="shared" ref="M546:M566" si="1098">M545</f>
        <v>1</v>
      </c>
      <c r="N546" s="84">
        <f t="shared" si="1087"/>
        <v>430</v>
      </c>
      <c r="O546" s="84">
        <f>HDTL56522!F42:F42</f>
        <v>1452</v>
      </c>
      <c r="P546" s="84">
        <f>HDTL56522!E42</f>
        <v>1509</v>
      </c>
      <c r="Q546" s="84">
        <f t="shared" si="1084"/>
        <v>1</v>
      </c>
      <c r="R546" s="84">
        <f t="shared" si="1088"/>
        <v>57</v>
      </c>
      <c r="S546" s="84">
        <f>HDTL56522!K42</f>
        <v>13368.3</v>
      </c>
      <c r="T546" s="84">
        <f>HDTL56522!J42</f>
        <v>13798.3</v>
      </c>
      <c r="U546" s="84">
        <f t="shared" ref="U546:U566" si="1099">U545</f>
        <v>1</v>
      </c>
      <c r="V546" s="84">
        <f t="shared" si="1090"/>
        <v>430</v>
      </c>
      <c r="W546" s="84"/>
      <c r="X546" s="84"/>
      <c r="Y546" s="85">
        <f t="shared" si="1091"/>
        <v>2.8666666666666667</v>
      </c>
      <c r="Z546" s="84"/>
      <c r="AA546" s="82" t="s">
        <v>263</v>
      </c>
    </row>
    <row r="547" spans="1:27" s="40" customFormat="1" ht="39.950000000000003" hidden="1" customHeight="1" x14ac:dyDescent="0.25">
      <c r="A547" s="49">
        <v>13</v>
      </c>
      <c r="B547" s="49" t="str">
        <f t="shared" ref="B547:J547" si="1100">B546</f>
        <v>H D Kote</v>
      </c>
      <c r="C547" s="49" t="str">
        <f t="shared" si="1100"/>
        <v>HDKOTE/1714</v>
      </c>
      <c r="D547" s="49" t="str">
        <f t="shared" si="1100"/>
        <v>PUC College</v>
      </c>
      <c r="E547" s="49" t="str">
        <f t="shared" si="1100"/>
        <v>HDTL56522</v>
      </c>
      <c r="F547" s="49">
        <f t="shared" si="1100"/>
        <v>2.6</v>
      </c>
      <c r="G547" s="49" t="str">
        <f t="shared" si="1100"/>
        <v>GOVT</v>
      </c>
      <c r="H547" s="49" t="str">
        <f t="shared" si="1100"/>
        <v>IPDS</v>
      </c>
      <c r="I547" s="49">
        <f t="shared" si="1100"/>
        <v>5</v>
      </c>
      <c r="J547" s="49" t="str">
        <f t="shared" si="1100"/>
        <v>LT2B(I)</v>
      </c>
      <c r="K547" s="84">
        <f>HDTL56522!Q43</f>
        <v>15940</v>
      </c>
      <c r="L547" s="84">
        <f>HDTL56522!P43</f>
        <v>16376.6</v>
      </c>
      <c r="M547" s="84">
        <f>M546</f>
        <v>1</v>
      </c>
      <c r="N547" s="84">
        <f t="shared" si="1087"/>
        <v>436.60000000000036</v>
      </c>
      <c r="O547" s="84">
        <f>HDTL56522!F43:F43</f>
        <v>1509</v>
      </c>
      <c r="P547" s="84">
        <f>HDTL56522!E43</f>
        <v>1563.3</v>
      </c>
      <c r="Q547" s="84">
        <f t="shared" si="1084"/>
        <v>1</v>
      </c>
      <c r="R547" s="84">
        <f t="shared" si="1088"/>
        <v>54.299999999999955</v>
      </c>
      <c r="S547" s="84">
        <f>HDTL56522!K43</f>
        <v>13798.3</v>
      </c>
      <c r="T547" s="84">
        <f>HDTL56522!J43</f>
        <v>14228.9</v>
      </c>
      <c r="U547" s="84">
        <f>U546</f>
        <v>1</v>
      </c>
      <c r="V547" s="84">
        <f t="shared" si="1090"/>
        <v>430.60000000000036</v>
      </c>
      <c r="W547" s="84"/>
      <c r="X547" s="84"/>
      <c r="Y547" s="85">
        <f t="shared" si="1091"/>
        <v>2.910666666666669</v>
      </c>
      <c r="Z547" s="84"/>
      <c r="AA547" s="82" t="s">
        <v>265</v>
      </c>
    </row>
    <row r="548" spans="1:27" s="40" customFormat="1" ht="39.950000000000003" hidden="1" customHeight="1" x14ac:dyDescent="0.25">
      <c r="A548" s="49">
        <v>14</v>
      </c>
      <c r="B548" s="49" t="str">
        <f t="shared" ref="B548:J548" si="1101">B547</f>
        <v>H D Kote</v>
      </c>
      <c r="C548" s="49" t="str">
        <f t="shared" si="1101"/>
        <v>HDKOTE/1714</v>
      </c>
      <c r="D548" s="49" t="str">
        <f t="shared" si="1101"/>
        <v>PUC College</v>
      </c>
      <c r="E548" s="49" t="str">
        <f t="shared" si="1101"/>
        <v>HDTL56522</v>
      </c>
      <c r="F548" s="49">
        <f t="shared" si="1101"/>
        <v>2.6</v>
      </c>
      <c r="G548" s="49" t="str">
        <f t="shared" si="1101"/>
        <v>GOVT</v>
      </c>
      <c r="H548" s="49" t="str">
        <f t="shared" si="1101"/>
        <v>IPDS</v>
      </c>
      <c r="I548" s="49">
        <f t="shared" si="1101"/>
        <v>5</v>
      </c>
      <c r="J548" s="49" t="str">
        <f t="shared" si="1101"/>
        <v>LT2B(I)</v>
      </c>
      <c r="K548" s="84">
        <f>HDTL56522!Q44</f>
        <v>16376.6</v>
      </c>
      <c r="L548" s="84">
        <f>HDTL56522!P44</f>
        <v>16656.7</v>
      </c>
      <c r="M548" s="84">
        <f t="shared" si="1098"/>
        <v>1</v>
      </c>
      <c r="N548" s="84">
        <f t="shared" ref="N548:N553" si="1102">(L548-K548)*M548</f>
        <v>280.10000000000036</v>
      </c>
      <c r="O548" s="84">
        <f>HDTL56522!F44:F44</f>
        <v>1563.3</v>
      </c>
      <c r="P548" s="84">
        <f>HDTL56522!E44</f>
        <v>1610.3</v>
      </c>
      <c r="Q548" s="84">
        <f t="shared" si="1084"/>
        <v>1</v>
      </c>
      <c r="R548" s="84">
        <f t="shared" ref="R548:R553" si="1103">(P548-O548)*Q548</f>
        <v>47</v>
      </c>
      <c r="S548" s="84">
        <f>HDTL56522!K44</f>
        <v>14228.9</v>
      </c>
      <c r="T548" s="84">
        <f>HDTL56522!J44</f>
        <v>14450.9</v>
      </c>
      <c r="U548" s="84">
        <f t="shared" si="1099"/>
        <v>1</v>
      </c>
      <c r="V548" s="84">
        <f t="shared" ref="V548:V553" si="1104">(T548-S548)*U548</f>
        <v>222</v>
      </c>
      <c r="W548" s="84"/>
      <c r="X548" s="84"/>
      <c r="Y548" s="85">
        <f t="shared" ref="Y548:Y553" si="1105">N548/30/I548</f>
        <v>1.8673333333333357</v>
      </c>
      <c r="Z548" s="84"/>
      <c r="AA548" s="82"/>
    </row>
    <row r="549" spans="1:27" s="40" customFormat="1" ht="39.950000000000003" hidden="1" customHeight="1" x14ac:dyDescent="0.25">
      <c r="A549" s="49">
        <v>15</v>
      </c>
      <c r="B549" s="49" t="str">
        <f t="shared" ref="B549:J549" si="1106">B548</f>
        <v>H D Kote</v>
      </c>
      <c r="C549" s="49" t="str">
        <f t="shared" si="1106"/>
        <v>HDKOTE/1714</v>
      </c>
      <c r="D549" s="49" t="str">
        <f t="shared" si="1106"/>
        <v>PUC College</v>
      </c>
      <c r="E549" s="49" t="str">
        <f t="shared" si="1106"/>
        <v>HDTL56522</v>
      </c>
      <c r="F549" s="49">
        <f t="shared" si="1106"/>
        <v>2.6</v>
      </c>
      <c r="G549" s="49" t="str">
        <f t="shared" si="1106"/>
        <v>GOVT</v>
      </c>
      <c r="H549" s="49" t="str">
        <f t="shared" si="1106"/>
        <v>IPDS</v>
      </c>
      <c r="I549" s="49">
        <f t="shared" si="1106"/>
        <v>5</v>
      </c>
      <c r="J549" s="49" t="str">
        <f t="shared" si="1106"/>
        <v>LT2B(I)</v>
      </c>
      <c r="K549" s="84">
        <f>HDTL56522!Q45</f>
        <v>16656.7</v>
      </c>
      <c r="L549" s="84">
        <f>HDTL56522!P45</f>
        <v>17012</v>
      </c>
      <c r="M549" s="84">
        <f t="shared" si="1098"/>
        <v>1</v>
      </c>
      <c r="N549" s="84">
        <f t="shared" si="1102"/>
        <v>355.29999999999927</v>
      </c>
      <c r="O549" s="84">
        <f>HDTL56522!F45:F45</f>
        <v>1610.3</v>
      </c>
      <c r="P549" s="84">
        <f>HDTL56522!E45</f>
        <v>1670.1</v>
      </c>
      <c r="Q549" s="84">
        <f t="shared" si="1084"/>
        <v>1</v>
      </c>
      <c r="R549" s="84">
        <f t="shared" si="1103"/>
        <v>59.799999999999955</v>
      </c>
      <c r="S549" s="84">
        <f>HDTL56522!K45</f>
        <v>14450.9</v>
      </c>
      <c r="T549" s="84">
        <f>HDTL56522!J45</f>
        <v>14805.9</v>
      </c>
      <c r="U549" s="84">
        <f t="shared" si="1099"/>
        <v>1</v>
      </c>
      <c r="V549" s="84">
        <f t="shared" si="1104"/>
        <v>355</v>
      </c>
      <c r="W549" s="84"/>
      <c r="X549" s="84"/>
      <c r="Y549" s="85">
        <f t="shared" si="1105"/>
        <v>2.3686666666666616</v>
      </c>
      <c r="Z549" s="84"/>
      <c r="AA549" s="82"/>
    </row>
    <row r="550" spans="1:27" s="40" customFormat="1" ht="39.950000000000003" hidden="1" customHeight="1" x14ac:dyDescent="0.25">
      <c r="A550" s="49">
        <v>16</v>
      </c>
      <c r="B550" s="49" t="str">
        <f t="shared" ref="B550:J550" si="1107">B549</f>
        <v>H D Kote</v>
      </c>
      <c r="C550" s="49" t="str">
        <f t="shared" si="1107"/>
        <v>HDKOTE/1714</v>
      </c>
      <c r="D550" s="49" t="str">
        <f t="shared" si="1107"/>
        <v>PUC College</v>
      </c>
      <c r="E550" s="49" t="str">
        <f t="shared" si="1107"/>
        <v>HDTL56522</v>
      </c>
      <c r="F550" s="49">
        <f t="shared" si="1107"/>
        <v>2.6</v>
      </c>
      <c r="G550" s="49" t="str">
        <f t="shared" si="1107"/>
        <v>GOVT</v>
      </c>
      <c r="H550" s="49" t="str">
        <f t="shared" si="1107"/>
        <v>IPDS</v>
      </c>
      <c r="I550" s="49">
        <f t="shared" si="1107"/>
        <v>5</v>
      </c>
      <c r="J550" s="49" t="str">
        <f t="shared" si="1107"/>
        <v>LT2B(I)</v>
      </c>
      <c r="K550" s="84">
        <f>HDTL56522!Q46</f>
        <v>17012</v>
      </c>
      <c r="L550" s="84">
        <f>HDTL56522!P46</f>
        <v>17189</v>
      </c>
      <c r="M550" s="84">
        <f t="shared" si="1098"/>
        <v>1</v>
      </c>
      <c r="N550" s="84">
        <f t="shared" si="1102"/>
        <v>177</v>
      </c>
      <c r="O550" s="84">
        <f>HDTL56522!F46:F46</f>
        <v>1670.1</v>
      </c>
      <c r="P550" s="84">
        <f>HDTL56522!E46</f>
        <v>1720</v>
      </c>
      <c r="Q550" s="84">
        <f t="shared" si="1084"/>
        <v>1</v>
      </c>
      <c r="R550" s="84">
        <f t="shared" si="1103"/>
        <v>49.900000000000091</v>
      </c>
      <c r="S550" s="84">
        <f>HDTL56522!K46</f>
        <v>14805.9</v>
      </c>
      <c r="T550" s="84">
        <f>HDTL56522!J46</f>
        <v>14982.9</v>
      </c>
      <c r="U550" s="84">
        <f t="shared" si="1099"/>
        <v>1</v>
      </c>
      <c r="V550" s="84">
        <f t="shared" si="1104"/>
        <v>177</v>
      </c>
      <c r="W550" s="84"/>
      <c r="X550" s="84"/>
      <c r="Y550" s="85">
        <f t="shared" si="1105"/>
        <v>1.1800000000000002</v>
      </c>
      <c r="Z550" s="84"/>
      <c r="AA550" s="82"/>
    </row>
    <row r="551" spans="1:27" s="40" customFormat="1" ht="39.950000000000003" hidden="1" customHeight="1" x14ac:dyDescent="0.25">
      <c r="A551" s="93">
        <v>17</v>
      </c>
      <c r="B551" s="49" t="str">
        <f t="shared" ref="B551:J551" si="1108">B550</f>
        <v>H D Kote</v>
      </c>
      <c r="C551" s="49" t="str">
        <f t="shared" si="1108"/>
        <v>HDKOTE/1714</v>
      </c>
      <c r="D551" s="49" t="str">
        <f t="shared" si="1108"/>
        <v>PUC College</v>
      </c>
      <c r="E551" s="49" t="str">
        <f t="shared" si="1108"/>
        <v>HDTL56522</v>
      </c>
      <c r="F551" s="49">
        <f t="shared" si="1108"/>
        <v>2.6</v>
      </c>
      <c r="G551" s="49" t="str">
        <f t="shared" si="1108"/>
        <v>GOVT</v>
      </c>
      <c r="H551" s="49" t="str">
        <f t="shared" si="1108"/>
        <v>IPDS</v>
      </c>
      <c r="I551" s="49">
        <f t="shared" si="1108"/>
        <v>5</v>
      </c>
      <c r="J551" s="49" t="str">
        <f t="shared" si="1108"/>
        <v>LT2B(I)</v>
      </c>
      <c r="K551" s="84">
        <f>HDTL56522!Q47</f>
        <v>17189</v>
      </c>
      <c r="L551" s="84">
        <f>HDTL56522!P47</f>
        <v>17530</v>
      </c>
      <c r="M551" s="84">
        <f t="shared" si="1098"/>
        <v>1</v>
      </c>
      <c r="N551" s="84">
        <f t="shared" si="1102"/>
        <v>341</v>
      </c>
      <c r="O551" s="84">
        <f>HDTL56522!F47:F47</f>
        <v>1720</v>
      </c>
      <c r="P551" s="84">
        <f>HDTL56522!E47</f>
        <v>1772</v>
      </c>
      <c r="Q551" s="84">
        <f t="shared" si="1084"/>
        <v>1</v>
      </c>
      <c r="R551" s="84">
        <f t="shared" si="1103"/>
        <v>52</v>
      </c>
      <c r="S551" s="84">
        <f>HDTL56522!K47</f>
        <v>14982.9</v>
      </c>
      <c r="T551" s="84">
        <f>HDTL56522!J47</f>
        <v>15323.9</v>
      </c>
      <c r="U551" s="84">
        <f t="shared" si="1099"/>
        <v>1</v>
      </c>
      <c r="V551" s="84">
        <f t="shared" si="1104"/>
        <v>341</v>
      </c>
      <c r="W551" s="84"/>
      <c r="X551" s="84"/>
      <c r="Y551" s="85">
        <f t="shared" si="1105"/>
        <v>2.2733333333333334</v>
      </c>
      <c r="Z551" s="84"/>
      <c r="AA551" s="82"/>
    </row>
    <row r="552" spans="1:27" s="40" customFormat="1" ht="39.950000000000003" hidden="1" customHeight="1" x14ac:dyDescent="0.25">
      <c r="A552" s="94">
        <v>18</v>
      </c>
      <c r="B552" s="49" t="str">
        <f t="shared" ref="B552:J552" si="1109">B551</f>
        <v>H D Kote</v>
      </c>
      <c r="C552" s="49" t="str">
        <f t="shared" si="1109"/>
        <v>HDKOTE/1714</v>
      </c>
      <c r="D552" s="49" t="str">
        <f t="shared" si="1109"/>
        <v>PUC College</v>
      </c>
      <c r="E552" s="49" t="str">
        <f t="shared" si="1109"/>
        <v>HDTL56522</v>
      </c>
      <c r="F552" s="49">
        <f t="shared" si="1109"/>
        <v>2.6</v>
      </c>
      <c r="G552" s="49" t="str">
        <f t="shared" si="1109"/>
        <v>GOVT</v>
      </c>
      <c r="H552" s="49" t="str">
        <f t="shared" si="1109"/>
        <v>IPDS</v>
      </c>
      <c r="I552" s="49">
        <f t="shared" si="1109"/>
        <v>5</v>
      </c>
      <c r="J552" s="49" t="str">
        <f t="shared" si="1109"/>
        <v>LT2B(I)</v>
      </c>
      <c r="K552" s="84">
        <f>HDTL56522!Q48</f>
        <v>17530</v>
      </c>
      <c r="L552" s="84">
        <f>HDTL56522!P48</f>
        <v>17771</v>
      </c>
      <c r="M552" s="84">
        <f t="shared" si="1098"/>
        <v>1</v>
      </c>
      <c r="N552" s="84">
        <f t="shared" si="1102"/>
        <v>241</v>
      </c>
      <c r="O552" s="84">
        <f>HDTL56522!F48:F48</f>
        <v>1772</v>
      </c>
      <c r="P552" s="84">
        <f>HDTL56522!E48</f>
        <v>1838</v>
      </c>
      <c r="Q552" s="84">
        <f t="shared" si="1084"/>
        <v>1</v>
      </c>
      <c r="R552" s="84">
        <f t="shared" si="1103"/>
        <v>66</v>
      </c>
      <c r="S552" s="84">
        <f>HDTL56522!K48</f>
        <v>15323.9</v>
      </c>
      <c r="T552" s="84">
        <f>HDTL56522!J48</f>
        <v>15576</v>
      </c>
      <c r="U552" s="84">
        <f t="shared" si="1099"/>
        <v>1</v>
      </c>
      <c r="V552" s="84">
        <f t="shared" si="1104"/>
        <v>252.10000000000036</v>
      </c>
      <c r="W552" s="84"/>
      <c r="X552" s="84"/>
      <c r="Y552" s="85">
        <f t="shared" si="1105"/>
        <v>1.6066666666666667</v>
      </c>
      <c r="Z552" s="84"/>
      <c r="AA552" s="82"/>
    </row>
    <row r="553" spans="1:27" s="40" customFormat="1" ht="39.950000000000003" hidden="1" customHeight="1" x14ac:dyDescent="0.25">
      <c r="A553" s="95">
        <v>19</v>
      </c>
      <c r="B553" s="49" t="str">
        <f t="shared" ref="B553:J553" si="1110">B552</f>
        <v>H D Kote</v>
      </c>
      <c r="C553" s="49" t="str">
        <f t="shared" si="1110"/>
        <v>HDKOTE/1714</v>
      </c>
      <c r="D553" s="49" t="str">
        <f t="shared" si="1110"/>
        <v>PUC College</v>
      </c>
      <c r="E553" s="49" t="str">
        <f t="shared" si="1110"/>
        <v>HDTL56522</v>
      </c>
      <c r="F553" s="49">
        <f t="shared" si="1110"/>
        <v>2.6</v>
      </c>
      <c r="G553" s="49" t="str">
        <f t="shared" si="1110"/>
        <v>GOVT</v>
      </c>
      <c r="H553" s="49" t="str">
        <f t="shared" si="1110"/>
        <v>IPDS</v>
      </c>
      <c r="I553" s="49">
        <f t="shared" si="1110"/>
        <v>5</v>
      </c>
      <c r="J553" s="49" t="str">
        <f t="shared" si="1110"/>
        <v>LT2B(I)</v>
      </c>
      <c r="K553" s="84">
        <f>HDTL56522!Q49</f>
        <v>17771</v>
      </c>
      <c r="L553" s="84">
        <f>HDTL56522!P49</f>
        <v>17771</v>
      </c>
      <c r="M553" s="84">
        <f t="shared" si="1098"/>
        <v>1</v>
      </c>
      <c r="N553" s="84">
        <f t="shared" si="1102"/>
        <v>0</v>
      </c>
      <c r="O553" s="84">
        <f>HDTL56522!F49:F49</f>
        <v>1838</v>
      </c>
      <c r="P553" s="84">
        <f>HDTL56522!E49</f>
        <v>1915</v>
      </c>
      <c r="Q553" s="84">
        <f t="shared" si="1084"/>
        <v>1</v>
      </c>
      <c r="R553" s="84">
        <f t="shared" si="1103"/>
        <v>77</v>
      </c>
      <c r="S553" s="84">
        <f>HDTL56522!K49</f>
        <v>15576</v>
      </c>
      <c r="T553" s="84">
        <f>HDTL56522!J49</f>
        <v>15576</v>
      </c>
      <c r="U553" s="84">
        <f t="shared" si="1099"/>
        <v>1</v>
      </c>
      <c r="V553" s="84">
        <f t="shared" si="1104"/>
        <v>0</v>
      </c>
      <c r="W553" s="84"/>
      <c r="X553" s="84"/>
      <c r="Y553" s="85">
        <f t="shared" si="1105"/>
        <v>0</v>
      </c>
      <c r="Z553" s="84"/>
      <c r="AA553" s="82"/>
    </row>
    <row r="554" spans="1:27" s="40" customFormat="1" ht="39.950000000000003" hidden="1" customHeight="1" x14ac:dyDescent="0.25">
      <c r="A554" s="49">
        <v>20</v>
      </c>
      <c r="B554" s="49" t="str">
        <f t="shared" ref="B554:J557" si="1111">B553</f>
        <v>H D Kote</v>
      </c>
      <c r="C554" s="49" t="str">
        <f t="shared" si="1111"/>
        <v>HDKOTE/1714</v>
      </c>
      <c r="D554" s="49" t="str">
        <f t="shared" si="1111"/>
        <v>PUC College</v>
      </c>
      <c r="E554" s="49" t="str">
        <f t="shared" si="1111"/>
        <v>HDTL56522</v>
      </c>
      <c r="F554" s="49">
        <f t="shared" si="1111"/>
        <v>2.6</v>
      </c>
      <c r="G554" s="49" t="str">
        <f t="shared" si="1111"/>
        <v>GOVT</v>
      </c>
      <c r="H554" s="49" t="str">
        <f t="shared" si="1111"/>
        <v>IPDS</v>
      </c>
      <c r="I554" s="49">
        <f t="shared" si="1111"/>
        <v>5</v>
      </c>
      <c r="J554" s="49" t="str">
        <f t="shared" si="1111"/>
        <v>LT2B(I)</v>
      </c>
      <c r="K554" s="84">
        <f>HDTL56522!Q50</f>
        <v>17771</v>
      </c>
      <c r="L554" s="84">
        <f>HDTL56522!P50</f>
        <v>17771</v>
      </c>
      <c r="M554" s="84">
        <f t="shared" si="1098"/>
        <v>1</v>
      </c>
      <c r="N554" s="84">
        <f t="shared" ref="N554" si="1112">(L554-K554)*M554</f>
        <v>0</v>
      </c>
      <c r="O554" s="84">
        <f>HDTL56522!F50:F50</f>
        <v>1915</v>
      </c>
      <c r="P554" s="84">
        <f>HDTL56522!E50</f>
        <v>1988.8</v>
      </c>
      <c r="Q554" s="84">
        <f t="shared" si="1084"/>
        <v>1</v>
      </c>
      <c r="R554" s="84">
        <f t="shared" ref="R554" si="1113">(P554-O554)*Q554</f>
        <v>73.799999999999955</v>
      </c>
      <c r="S554" s="84">
        <f>HDTL56522!K50</f>
        <v>15576</v>
      </c>
      <c r="T554" s="84">
        <f>HDTL56522!J50</f>
        <v>15576</v>
      </c>
      <c r="U554" s="84">
        <f t="shared" si="1099"/>
        <v>1</v>
      </c>
      <c r="V554" s="84">
        <f t="shared" ref="V554" si="1114">(T554-S554)*U554</f>
        <v>0</v>
      </c>
      <c r="W554" s="84"/>
      <c r="X554" s="84"/>
      <c r="Y554" s="85">
        <f t="shared" ref="Y554" si="1115">N554/30/I554</f>
        <v>0</v>
      </c>
      <c r="Z554" s="84"/>
      <c r="AA554" s="82"/>
    </row>
    <row r="555" spans="1:27" s="40" customFormat="1" ht="39.950000000000003" hidden="1" customHeight="1" x14ac:dyDescent="0.25">
      <c r="A555" s="49">
        <v>21</v>
      </c>
      <c r="B555" s="49" t="str">
        <f t="shared" si="1111"/>
        <v>H D Kote</v>
      </c>
      <c r="C555" s="49" t="str">
        <f t="shared" si="1111"/>
        <v>HDKOTE/1714</v>
      </c>
      <c r="D555" s="49" t="str">
        <f t="shared" si="1111"/>
        <v>PUC College</v>
      </c>
      <c r="E555" s="49" t="str">
        <f t="shared" si="1111"/>
        <v>HDTL56522</v>
      </c>
      <c r="F555" s="49">
        <f t="shared" si="1111"/>
        <v>2.6</v>
      </c>
      <c r="G555" s="49" t="str">
        <f t="shared" si="1111"/>
        <v>GOVT</v>
      </c>
      <c r="H555" s="49" t="str">
        <f t="shared" si="1111"/>
        <v>IPDS</v>
      </c>
      <c r="I555" s="49">
        <f t="shared" si="1111"/>
        <v>5</v>
      </c>
      <c r="J555" s="49" t="str">
        <f t="shared" si="1111"/>
        <v>LT2B(I)</v>
      </c>
      <c r="K555" s="84">
        <f>HDTL56522!Q51</f>
        <v>17771</v>
      </c>
      <c r="L555" s="84">
        <f>HDTL56522!P51</f>
        <v>17771</v>
      </c>
      <c r="M555" s="84">
        <f t="shared" si="1098"/>
        <v>1</v>
      </c>
      <c r="N555" s="84">
        <f t="shared" ref="N555:N557" si="1116">(L555-K555)*M555</f>
        <v>0</v>
      </c>
      <c r="O555" s="84">
        <f>HDTL56522!F51:F51</f>
        <v>1988.8</v>
      </c>
      <c r="P555" s="84">
        <f>HDTL56522!E51</f>
        <v>2061.5</v>
      </c>
      <c r="Q555" s="84">
        <f t="shared" si="1084"/>
        <v>1</v>
      </c>
      <c r="R555" s="84">
        <f t="shared" ref="R555:R557" si="1117">(P555-O555)*Q555</f>
        <v>72.700000000000045</v>
      </c>
      <c r="S555" s="84">
        <f>HDTL56522!K51</f>
        <v>15576</v>
      </c>
      <c r="T555" s="84">
        <f>HDTL56522!J51</f>
        <v>15576</v>
      </c>
      <c r="U555" s="84">
        <f t="shared" si="1099"/>
        <v>1</v>
      </c>
      <c r="V555" s="84">
        <f t="shared" ref="V555:V557" si="1118">(T555-S555)*U555</f>
        <v>0</v>
      </c>
      <c r="W555" s="84"/>
      <c r="X555" s="84"/>
      <c r="Y555" s="85">
        <f t="shared" ref="Y555:Y557" si="1119">N555/30/I555</f>
        <v>0</v>
      </c>
      <c r="Z555" s="84"/>
      <c r="AA555" s="82"/>
    </row>
    <row r="556" spans="1:27" s="40" customFormat="1" ht="39.950000000000003" hidden="1" customHeight="1" x14ac:dyDescent="0.25">
      <c r="A556" s="49">
        <v>22</v>
      </c>
      <c r="B556" s="49" t="str">
        <f t="shared" si="1111"/>
        <v>H D Kote</v>
      </c>
      <c r="C556" s="49" t="str">
        <f t="shared" si="1111"/>
        <v>HDKOTE/1714</v>
      </c>
      <c r="D556" s="49" t="str">
        <f t="shared" si="1111"/>
        <v>PUC College</v>
      </c>
      <c r="E556" s="49" t="str">
        <f t="shared" si="1111"/>
        <v>HDTL56522</v>
      </c>
      <c r="F556" s="49">
        <f t="shared" si="1111"/>
        <v>2.6</v>
      </c>
      <c r="G556" s="49" t="str">
        <f t="shared" si="1111"/>
        <v>GOVT</v>
      </c>
      <c r="H556" s="49" t="str">
        <f t="shared" si="1111"/>
        <v>IPDS</v>
      </c>
      <c r="I556" s="49">
        <f t="shared" si="1111"/>
        <v>5</v>
      </c>
      <c r="J556" s="49" t="str">
        <f t="shared" si="1111"/>
        <v>LT2B(I)</v>
      </c>
      <c r="K556" s="84">
        <f>HDTL56522!Q52</f>
        <v>17771</v>
      </c>
      <c r="L556" s="84">
        <f>HDTL56522!P52</f>
        <v>17771</v>
      </c>
      <c r="M556" s="84">
        <f t="shared" si="1098"/>
        <v>1</v>
      </c>
      <c r="N556" s="84">
        <f t="shared" si="1116"/>
        <v>0</v>
      </c>
      <c r="O556" s="84">
        <f>HDTL56522!F52:F52</f>
        <v>2061.5</v>
      </c>
      <c r="P556" s="84">
        <f>HDTL56522!E52</f>
        <v>2134.5</v>
      </c>
      <c r="Q556" s="84">
        <f t="shared" si="1084"/>
        <v>1</v>
      </c>
      <c r="R556" s="84">
        <f t="shared" si="1117"/>
        <v>73</v>
      </c>
      <c r="S556" s="84">
        <f>HDTL56522!K52</f>
        <v>15576</v>
      </c>
      <c r="T556" s="84">
        <f>HDTL56522!J52</f>
        <v>15576</v>
      </c>
      <c r="U556" s="84">
        <f t="shared" si="1099"/>
        <v>1</v>
      </c>
      <c r="V556" s="84">
        <f t="shared" si="1118"/>
        <v>0</v>
      </c>
      <c r="W556" s="84"/>
      <c r="X556" s="84"/>
      <c r="Y556" s="85">
        <f t="shared" si="1119"/>
        <v>0</v>
      </c>
      <c r="Z556" s="84"/>
      <c r="AA556" s="82"/>
    </row>
    <row r="557" spans="1:27" s="40" customFormat="1" ht="39.950000000000003" hidden="1" customHeight="1" x14ac:dyDescent="0.25">
      <c r="A557" s="49">
        <v>23</v>
      </c>
      <c r="B557" s="49" t="str">
        <f t="shared" si="1111"/>
        <v>H D Kote</v>
      </c>
      <c r="C557" s="49" t="str">
        <f t="shared" si="1111"/>
        <v>HDKOTE/1714</v>
      </c>
      <c r="D557" s="49" t="str">
        <f t="shared" si="1111"/>
        <v>PUC College</v>
      </c>
      <c r="E557" s="49" t="str">
        <f t="shared" si="1111"/>
        <v>HDTL56522</v>
      </c>
      <c r="F557" s="49">
        <f t="shared" si="1111"/>
        <v>2.6</v>
      </c>
      <c r="G557" s="49" t="str">
        <f t="shared" si="1111"/>
        <v>GOVT</v>
      </c>
      <c r="H557" s="49" t="str">
        <f t="shared" si="1111"/>
        <v>IPDS</v>
      </c>
      <c r="I557" s="49">
        <f t="shared" si="1111"/>
        <v>5</v>
      </c>
      <c r="J557" s="49" t="str">
        <f t="shared" si="1111"/>
        <v>LT2B(I)</v>
      </c>
      <c r="K557" s="84">
        <f>HDTL56522!Q54</f>
        <v>17771</v>
      </c>
      <c r="L557" s="84">
        <f>HDTL56522!P54</f>
        <v>17771</v>
      </c>
      <c r="M557" s="84">
        <f t="shared" si="1098"/>
        <v>1</v>
      </c>
      <c r="N557" s="84">
        <f t="shared" si="1116"/>
        <v>0</v>
      </c>
      <c r="O557" s="84">
        <f>HDTL56522!F54:F54</f>
        <v>2134.5</v>
      </c>
      <c r="P557" s="84">
        <f>HDTL56522!E54</f>
        <v>2194.5</v>
      </c>
      <c r="Q557" s="84">
        <f t="shared" si="1084"/>
        <v>1</v>
      </c>
      <c r="R557" s="84">
        <f t="shared" si="1117"/>
        <v>60</v>
      </c>
      <c r="S557" s="84">
        <f>HDTL56522!K54</f>
        <v>15576</v>
      </c>
      <c r="T557" s="84">
        <f>HDTL56522!J54</f>
        <v>15576</v>
      </c>
      <c r="U557" s="84">
        <f t="shared" si="1099"/>
        <v>1</v>
      </c>
      <c r="V557" s="84">
        <f t="shared" si="1118"/>
        <v>0</v>
      </c>
      <c r="W557" s="84"/>
      <c r="X557" s="84"/>
      <c r="Y557" s="85">
        <f t="shared" si="1119"/>
        <v>0</v>
      </c>
      <c r="Z557" s="84"/>
      <c r="AA557" s="82"/>
    </row>
    <row r="558" spans="1:27" s="40" customFormat="1" ht="39.950000000000003" hidden="1" customHeight="1" x14ac:dyDescent="0.25">
      <c r="A558" s="49">
        <v>24</v>
      </c>
      <c r="B558" s="49" t="str">
        <f t="shared" ref="B558:J558" si="1120">B557</f>
        <v>H D Kote</v>
      </c>
      <c r="C558" s="49" t="str">
        <f t="shared" si="1120"/>
        <v>HDKOTE/1714</v>
      </c>
      <c r="D558" s="49" t="str">
        <f t="shared" si="1120"/>
        <v>PUC College</v>
      </c>
      <c r="E558" s="49" t="str">
        <f t="shared" si="1120"/>
        <v>HDTL56522</v>
      </c>
      <c r="F558" s="49">
        <f t="shared" si="1120"/>
        <v>2.6</v>
      </c>
      <c r="G558" s="49" t="str">
        <f t="shared" si="1120"/>
        <v>GOVT</v>
      </c>
      <c r="H558" s="49" t="str">
        <f t="shared" si="1120"/>
        <v>IPDS</v>
      </c>
      <c r="I558" s="49">
        <f t="shared" si="1120"/>
        <v>5</v>
      </c>
      <c r="J558" s="49" t="str">
        <f t="shared" si="1120"/>
        <v>LT2B(I)</v>
      </c>
      <c r="K558" s="84">
        <f>HDTL56522!Q55</f>
        <v>17771</v>
      </c>
      <c r="L558" s="84">
        <f>HDTL56522!P55</f>
        <v>17771</v>
      </c>
      <c r="M558" s="84">
        <f t="shared" si="1098"/>
        <v>1</v>
      </c>
      <c r="N558" s="84">
        <f t="shared" ref="N558:N562" si="1121">(L558-K558)*M558</f>
        <v>0</v>
      </c>
      <c r="O558" s="84">
        <f>HDTL56522!F55:F55</f>
        <v>2194.5</v>
      </c>
      <c r="P558" s="84">
        <f>HDTL56522!E55</f>
        <v>2255.5</v>
      </c>
      <c r="Q558" s="84">
        <f t="shared" si="1084"/>
        <v>1</v>
      </c>
      <c r="R558" s="84">
        <f t="shared" ref="R558:R562" si="1122">(P558-O558)*Q558</f>
        <v>61</v>
      </c>
      <c r="S558" s="84">
        <f>HDTL56522!K55</f>
        <v>15576</v>
      </c>
      <c r="T558" s="84">
        <f>HDTL56522!J55</f>
        <v>15576</v>
      </c>
      <c r="U558" s="84">
        <f t="shared" si="1099"/>
        <v>1</v>
      </c>
      <c r="V558" s="84">
        <f t="shared" ref="V558:V562" si="1123">(T558-S558)*U558</f>
        <v>0</v>
      </c>
      <c r="W558" s="84"/>
      <c r="X558" s="84"/>
      <c r="Y558" s="85">
        <f t="shared" ref="Y558:Y562" si="1124">N558/30/I558</f>
        <v>0</v>
      </c>
      <c r="Z558" s="84"/>
      <c r="AA558" s="82"/>
    </row>
    <row r="559" spans="1:27" s="40" customFormat="1" ht="39.950000000000003" hidden="1" customHeight="1" x14ac:dyDescent="0.25">
      <c r="A559" s="49">
        <v>25</v>
      </c>
      <c r="B559" s="49" t="str">
        <f t="shared" ref="B559:J559" si="1125">B558</f>
        <v>H D Kote</v>
      </c>
      <c r="C559" s="49" t="str">
        <f t="shared" si="1125"/>
        <v>HDKOTE/1714</v>
      </c>
      <c r="D559" s="49" t="str">
        <f t="shared" si="1125"/>
        <v>PUC College</v>
      </c>
      <c r="E559" s="49" t="str">
        <f t="shared" si="1125"/>
        <v>HDTL56522</v>
      </c>
      <c r="F559" s="49">
        <f t="shared" si="1125"/>
        <v>2.6</v>
      </c>
      <c r="G559" s="49" t="str">
        <f t="shared" si="1125"/>
        <v>GOVT</v>
      </c>
      <c r="H559" s="49" t="str">
        <f t="shared" si="1125"/>
        <v>IPDS</v>
      </c>
      <c r="I559" s="49">
        <f t="shared" si="1125"/>
        <v>5</v>
      </c>
      <c r="J559" s="49" t="str">
        <f t="shared" si="1125"/>
        <v>LT2B(I)</v>
      </c>
      <c r="K559" s="84">
        <f>HDTL56522!Q56</f>
        <v>17771</v>
      </c>
      <c r="L559" s="84">
        <f>HDTL56522!P56</f>
        <v>17771</v>
      </c>
      <c r="M559" s="84">
        <f t="shared" si="1098"/>
        <v>1</v>
      </c>
      <c r="N559" s="84">
        <f t="shared" si="1121"/>
        <v>0</v>
      </c>
      <c r="O559" s="84">
        <f>HDTL56522!F56:F56</f>
        <v>2255.5</v>
      </c>
      <c r="P559" s="84">
        <f>HDTL56522!E56</f>
        <v>2314.5</v>
      </c>
      <c r="Q559" s="84">
        <f t="shared" si="1084"/>
        <v>1</v>
      </c>
      <c r="R559" s="84">
        <f t="shared" si="1122"/>
        <v>59</v>
      </c>
      <c r="S559" s="84">
        <f>HDTL56522!K56</f>
        <v>15576</v>
      </c>
      <c r="T559" s="84">
        <f>HDTL56522!J56</f>
        <v>15576</v>
      </c>
      <c r="U559" s="84">
        <f t="shared" si="1099"/>
        <v>1</v>
      </c>
      <c r="V559" s="84">
        <f t="shared" si="1123"/>
        <v>0</v>
      </c>
      <c r="W559" s="84"/>
      <c r="X559" s="84"/>
      <c r="Y559" s="85">
        <f t="shared" si="1124"/>
        <v>0</v>
      </c>
      <c r="Z559" s="84"/>
      <c r="AA559" s="82"/>
    </row>
    <row r="560" spans="1:27" s="40" customFormat="1" ht="39.950000000000003" hidden="1" customHeight="1" x14ac:dyDescent="0.25">
      <c r="A560" s="49">
        <v>26</v>
      </c>
      <c r="B560" s="49" t="str">
        <f t="shared" ref="B560:J560" si="1126">B559</f>
        <v>H D Kote</v>
      </c>
      <c r="C560" s="49" t="str">
        <f t="shared" si="1126"/>
        <v>HDKOTE/1714</v>
      </c>
      <c r="D560" s="49" t="str">
        <f t="shared" si="1126"/>
        <v>PUC College</v>
      </c>
      <c r="E560" s="49" t="str">
        <f t="shared" si="1126"/>
        <v>HDTL56522</v>
      </c>
      <c r="F560" s="49">
        <f t="shared" si="1126"/>
        <v>2.6</v>
      </c>
      <c r="G560" s="49" t="str">
        <f t="shared" si="1126"/>
        <v>GOVT</v>
      </c>
      <c r="H560" s="49" t="str">
        <f t="shared" si="1126"/>
        <v>IPDS</v>
      </c>
      <c r="I560" s="49">
        <f t="shared" si="1126"/>
        <v>5</v>
      </c>
      <c r="J560" s="49" t="str">
        <f t="shared" si="1126"/>
        <v>LT2B(I)</v>
      </c>
      <c r="K560" s="84">
        <f>HDTL56522!Q57</f>
        <v>17771</v>
      </c>
      <c r="L560" s="84">
        <f>HDTL56522!P57</f>
        <v>17771</v>
      </c>
      <c r="M560" s="84">
        <f t="shared" si="1098"/>
        <v>1</v>
      </c>
      <c r="N560" s="84">
        <f t="shared" si="1121"/>
        <v>0</v>
      </c>
      <c r="O560" s="84">
        <f>HDTL56522!F57:F57</f>
        <v>2314.5</v>
      </c>
      <c r="P560" s="84">
        <f>HDTL56522!E57</f>
        <v>2375.9</v>
      </c>
      <c r="Q560" s="84">
        <f t="shared" si="1084"/>
        <v>1</v>
      </c>
      <c r="R560" s="84">
        <f t="shared" si="1122"/>
        <v>61.400000000000091</v>
      </c>
      <c r="S560" s="84">
        <f>HDTL56522!K57</f>
        <v>15576</v>
      </c>
      <c r="T560" s="84">
        <f>HDTL56522!J57</f>
        <v>15576</v>
      </c>
      <c r="U560" s="84">
        <f t="shared" si="1099"/>
        <v>1</v>
      </c>
      <c r="V560" s="84">
        <f t="shared" si="1123"/>
        <v>0</v>
      </c>
      <c r="W560" s="84"/>
      <c r="X560" s="84"/>
      <c r="Y560" s="85">
        <f t="shared" si="1124"/>
        <v>0</v>
      </c>
      <c r="Z560" s="84"/>
      <c r="AA560" s="82"/>
    </row>
    <row r="561" spans="1:27" s="40" customFormat="1" ht="39.950000000000003" hidden="1" customHeight="1" x14ac:dyDescent="0.25">
      <c r="A561" s="49">
        <v>27</v>
      </c>
      <c r="B561" s="49" t="str">
        <f t="shared" ref="B561:J561" si="1127">B560</f>
        <v>H D Kote</v>
      </c>
      <c r="C561" s="49" t="str">
        <f t="shared" si="1127"/>
        <v>HDKOTE/1714</v>
      </c>
      <c r="D561" s="49" t="str">
        <f t="shared" si="1127"/>
        <v>PUC College</v>
      </c>
      <c r="E561" s="49" t="str">
        <f t="shared" si="1127"/>
        <v>HDTL56522</v>
      </c>
      <c r="F561" s="49">
        <f t="shared" si="1127"/>
        <v>2.6</v>
      </c>
      <c r="G561" s="49" t="str">
        <f t="shared" si="1127"/>
        <v>GOVT</v>
      </c>
      <c r="H561" s="49" t="str">
        <f t="shared" si="1127"/>
        <v>IPDS</v>
      </c>
      <c r="I561" s="49">
        <f t="shared" si="1127"/>
        <v>5</v>
      </c>
      <c r="J561" s="49" t="str">
        <f t="shared" si="1127"/>
        <v>LT2B(I)</v>
      </c>
      <c r="K561" s="84">
        <f>HDTL56522!Q58</f>
        <v>17771</v>
      </c>
      <c r="L561" s="84">
        <f>HDTL56522!P58</f>
        <v>17795</v>
      </c>
      <c r="M561" s="84">
        <f t="shared" si="1098"/>
        <v>1</v>
      </c>
      <c r="N561" s="84">
        <f t="shared" si="1121"/>
        <v>24</v>
      </c>
      <c r="O561" s="84">
        <f>HDTL56522!F58:F58</f>
        <v>2375.9</v>
      </c>
      <c r="P561" s="84">
        <f>HDTL56522!E58</f>
        <v>2442.1999999999998</v>
      </c>
      <c r="Q561" s="84">
        <f t="shared" si="1084"/>
        <v>1</v>
      </c>
      <c r="R561" s="84">
        <f t="shared" si="1122"/>
        <v>66.299999999999727</v>
      </c>
      <c r="S561" s="84">
        <f>HDTL56522!K58</f>
        <v>15576</v>
      </c>
      <c r="T561" s="84">
        <f>HDTL56522!J58</f>
        <v>15600</v>
      </c>
      <c r="U561" s="84">
        <f t="shared" si="1099"/>
        <v>1</v>
      </c>
      <c r="V561" s="84">
        <f t="shared" si="1123"/>
        <v>24</v>
      </c>
      <c r="W561" s="84"/>
      <c r="X561" s="84"/>
      <c r="Y561" s="85">
        <f t="shared" si="1124"/>
        <v>0.16</v>
      </c>
      <c r="Z561" s="84"/>
      <c r="AA561" s="82"/>
    </row>
    <row r="562" spans="1:27" s="40" customFormat="1" ht="39.950000000000003" hidden="1" customHeight="1" x14ac:dyDescent="0.25">
      <c r="A562" s="49">
        <v>28</v>
      </c>
      <c r="B562" s="49" t="str">
        <f t="shared" ref="B562:J564" si="1128">B561</f>
        <v>H D Kote</v>
      </c>
      <c r="C562" s="49" t="str">
        <f t="shared" si="1128"/>
        <v>HDKOTE/1714</v>
      </c>
      <c r="D562" s="49" t="str">
        <f t="shared" si="1128"/>
        <v>PUC College</v>
      </c>
      <c r="E562" s="49" t="str">
        <f t="shared" si="1128"/>
        <v>HDTL56522</v>
      </c>
      <c r="F562" s="49">
        <f t="shared" si="1128"/>
        <v>2.6</v>
      </c>
      <c r="G562" s="49" t="str">
        <f t="shared" si="1128"/>
        <v>GOVT</v>
      </c>
      <c r="H562" s="49" t="str">
        <f t="shared" si="1128"/>
        <v>IPDS</v>
      </c>
      <c r="I562" s="49">
        <f t="shared" si="1128"/>
        <v>5</v>
      </c>
      <c r="J562" s="49" t="str">
        <f t="shared" si="1128"/>
        <v>LT2B(I)</v>
      </c>
      <c r="K562" s="84">
        <f>HDTL56522!Q59</f>
        <v>17795</v>
      </c>
      <c r="L562" s="84">
        <f>HDTL56522!P59</f>
        <v>17880</v>
      </c>
      <c r="M562" s="84">
        <f t="shared" si="1098"/>
        <v>1</v>
      </c>
      <c r="N562" s="84">
        <f t="shared" si="1121"/>
        <v>85</v>
      </c>
      <c r="O562" s="84">
        <f>HDTL56522!F59:F59</f>
        <v>2442.1999999999998</v>
      </c>
      <c r="P562" s="84">
        <f>HDTL56522!E59</f>
        <v>2511.1999999999998</v>
      </c>
      <c r="Q562" s="84">
        <f t="shared" si="1084"/>
        <v>1</v>
      </c>
      <c r="R562" s="84">
        <f t="shared" si="1122"/>
        <v>69</v>
      </c>
      <c r="S562" s="84">
        <f>HDTL56522!K59</f>
        <v>15600</v>
      </c>
      <c r="T562" s="84">
        <f>HDTL56522!J59</f>
        <v>15736.4</v>
      </c>
      <c r="U562" s="84">
        <f t="shared" si="1099"/>
        <v>1</v>
      </c>
      <c r="V562" s="84">
        <f t="shared" si="1123"/>
        <v>136.39999999999964</v>
      </c>
      <c r="W562" s="84">
        <f>HDTL56522!U59</f>
        <v>0</v>
      </c>
      <c r="X562" s="84">
        <f>HDTL56522!V59</f>
        <v>0.97199999999999998</v>
      </c>
      <c r="Y562" s="85">
        <f t="shared" si="1124"/>
        <v>0.56666666666666665</v>
      </c>
      <c r="Z562" s="84"/>
      <c r="AA562" s="82"/>
    </row>
    <row r="563" spans="1:27" s="40" customFormat="1" ht="39.950000000000003" hidden="1" customHeight="1" x14ac:dyDescent="0.25">
      <c r="A563" s="49">
        <v>29</v>
      </c>
      <c r="B563" s="49" t="str">
        <f t="shared" ref="B563:J563" si="1129">B562</f>
        <v>H D Kote</v>
      </c>
      <c r="C563" s="49" t="str">
        <f t="shared" si="1129"/>
        <v>HDKOTE/1714</v>
      </c>
      <c r="D563" s="49" t="str">
        <f t="shared" si="1129"/>
        <v>PUC College</v>
      </c>
      <c r="E563" s="49" t="str">
        <f t="shared" si="1129"/>
        <v>HDTL56522</v>
      </c>
      <c r="F563" s="49">
        <f t="shared" si="1129"/>
        <v>2.6</v>
      </c>
      <c r="G563" s="49" t="str">
        <f t="shared" si="1129"/>
        <v>GOVT</v>
      </c>
      <c r="H563" s="49" t="str">
        <f t="shared" si="1129"/>
        <v>IPDS</v>
      </c>
      <c r="I563" s="49">
        <f t="shared" si="1129"/>
        <v>5</v>
      </c>
      <c r="J563" s="49" t="str">
        <f t="shared" si="1129"/>
        <v>LT2B(I)</v>
      </c>
      <c r="K563" s="84">
        <f>HDTL56522!Q60</f>
        <v>17880</v>
      </c>
      <c r="L563" s="84">
        <f>HDTL56522!P60</f>
        <v>17880</v>
      </c>
      <c r="M563" s="84">
        <f t="shared" si="1098"/>
        <v>1</v>
      </c>
      <c r="N563" s="84">
        <f t="shared" ref="N563:N566" si="1130">(L563-K563)*M563</f>
        <v>0</v>
      </c>
      <c r="O563" s="84">
        <f>HDTL56522!F60:F60</f>
        <v>2511.1999999999998</v>
      </c>
      <c r="P563" s="84">
        <f>HDTL56522!E60</f>
        <v>2629.7</v>
      </c>
      <c r="Q563" s="84">
        <f t="shared" si="1084"/>
        <v>1</v>
      </c>
      <c r="R563" s="84">
        <f t="shared" ref="R563:R566" si="1131">(P563-O563)*Q563</f>
        <v>118.5</v>
      </c>
      <c r="S563" s="84">
        <f>HDTL56522!K60</f>
        <v>15736.4</v>
      </c>
      <c r="T563" s="84">
        <f>HDTL56522!J60</f>
        <v>15736.4</v>
      </c>
      <c r="U563" s="84">
        <f t="shared" si="1099"/>
        <v>1</v>
      </c>
      <c r="V563" s="84">
        <f t="shared" ref="V563:V566" si="1132">(T563-S563)*U563</f>
        <v>0</v>
      </c>
      <c r="W563" s="84">
        <f>HDTL56522!U60</f>
        <v>2.4</v>
      </c>
      <c r="X563" s="84">
        <f>HDTL56522!V60</f>
        <v>1</v>
      </c>
      <c r="Y563" s="85">
        <f t="shared" ref="Y563:Y566" si="1133">N563/30/I563</f>
        <v>0</v>
      </c>
      <c r="Z563" s="84"/>
      <c r="AA563" s="82"/>
    </row>
    <row r="564" spans="1:27" s="40" customFormat="1" ht="39.950000000000003" customHeight="1" x14ac:dyDescent="0.25">
      <c r="A564" s="49">
        <v>30</v>
      </c>
      <c r="B564" s="49" t="str">
        <f t="shared" si="1128"/>
        <v>H D Kote</v>
      </c>
      <c r="C564" s="49" t="str">
        <f t="shared" si="1128"/>
        <v>HDKOTE/1714</v>
      </c>
      <c r="D564" s="49" t="str">
        <f t="shared" si="1128"/>
        <v>PUC College</v>
      </c>
      <c r="E564" s="49" t="str">
        <f t="shared" si="1128"/>
        <v>HDTL56522</v>
      </c>
      <c r="F564" s="49">
        <f t="shared" si="1128"/>
        <v>2.6</v>
      </c>
      <c r="G564" s="49" t="str">
        <f t="shared" si="1128"/>
        <v>GOVT</v>
      </c>
      <c r="H564" s="49" t="str">
        <f t="shared" si="1128"/>
        <v>IPDS</v>
      </c>
      <c r="I564" s="49">
        <f t="shared" si="1128"/>
        <v>5</v>
      </c>
      <c r="J564" s="49" t="str">
        <f t="shared" si="1128"/>
        <v>LT2B(I)</v>
      </c>
      <c r="K564" s="84">
        <f>HDTL56522!Q61</f>
        <v>17880</v>
      </c>
      <c r="L564" s="84">
        <f>HDTL56522!P61</f>
        <v>17880</v>
      </c>
      <c r="M564" s="84">
        <f t="shared" si="1098"/>
        <v>1</v>
      </c>
      <c r="N564" s="84">
        <f t="shared" si="1130"/>
        <v>0</v>
      </c>
      <c r="O564" s="84">
        <f>HDTL56522!F61:F61</f>
        <v>2629.7</v>
      </c>
      <c r="P564" s="84">
        <f>HDTL56522!E61</f>
        <v>2713.7</v>
      </c>
      <c r="Q564" s="84">
        <f t="shared" si="1084"/>
        <v>1</v>
      </c>
      <c r="R564" s="84">
        <f t="shared" si="1131"/>
        <v>84</v>
      </c>
      <c r="S564" s="84">
        <f>HDTL56522!K61</f>
        <v>15736.4</v>
      </c>
      <c r="T564" s="84">
        <f>HDTL56522!J61</f>
        <v>15736.4</v>
      </c>
      <c r="U564" s="84">
        <f t="shared" si="1099"/>
        <v>1</v>
      </c>
      <c r="V564" s="84">
        <f t="shared" si="1132"/>
        <v>0</v>
      </c>
      <c r="W564" s="84">
        <f>HDTL56522!U61</f>
        <v>0</v>
      </c>
      <c r="X564" s="84">
        <f>HDTL56522!V61</f>
        <v>0</v>
      </c>
      <c r="Y564" s="85">
        <f t="shared" si="1133"/>
        <v>0</v>
      </c>
      <c r="Z564" s="84"/>
      <c r="AA564" s="82"/>
    </row>
    <row r="565" spans="1:27" s="40" customFormat="1" ht="39.950000000000003" hidden="1" customHeight="1" x14ac:dyDescent="0.25">
      <c r="A565" s="49">
        <v>31</v>
      </c>
      <c r="B565" s="49" t="str">
        <f t="shared" ref="B565:J565" si="1134">B564</f>
        <v>H D Kote</v>
      </c>
      <c r="C565" s="49" t="str">
        <f t="shared" si="1134"/>
        <v>HDKOTE/1714</v>
      </c>
      <c r="D565" s="49" t="str">
        <f t="shared" si="1134"/>
        <v>PUC College</v>
      </c>
      <c r="E565" s="49" t="str">
        <f t="shared" si="1134"/>
        <v>HDTL56522</v>
      </c>
      <c r="F565" s="49">
        <f t="shared" si="1134"/>
        <v>2.6</v>
      </c>
      <c r="G565" s="49" t="str">
        <f t="shared" si="1134"/>
        <v>GOVT</v>
      </c>
      <c r="H565" s="49" t="str">
        <f t="shared" si="1134"/>
        <v>IPDS</v>
      </c>
      <c r="I565" s="49">
        <f t="shared" si="1134"/>
        <v>5</v>
      </c>
      <c r="J565" s="49" t="str">
        <f t="shared" si="1134"/>
        <v>LT2B(I)</v>
      </c>
      <c r="K565" s="84">
        <f>HDTL56522!Q62</f>
        <v>17880</v>
      </c>
      <c r="L565" s="84">
        <f>HDTL56522!P62</f>
        <v>17880</v>
      </c>
      <c r="M565" s="84">
        <f t="shared" si="1098"/>
        <v>1</v>
      </c>
      <c r="N565" s="84">
        <f t="shared" si="1130"/>
        <v>0</v>
      </c>
      <c r="O565" s="84">
        <f>HDTL56522!F62:F62</f>
        <v>2713.7</v>
      </c>
      <c r="P565" s="84">
        <f>HDTL56522!E62</f>
        <v>2812</v>
      </c>
      <c r="Q565" s="84">
        <f t="shared" si="1084"/>
        <v>1</v>
      </c>
      <c r="R565" s="84">
        <f t="shared" si="1131"/>
        <v>98.300000000000182</v>
      </c>
      <c r="S565" s="84">
        <f>HDTL56522!K62</f>
        <v>15736.4</v>
      </c>
      <c r="T565" s="84">
        <f>HDTL56522!J62</f>
        <v>15736.4</v>
      </c>
      <c r="U565" s="84">
        <f t="shared" si="1099"/>
        <v>1</v>
      </c>
      <c r="V565" s="84">
        <f t="shared" si="1132"/>
        <v>0</v>
      </c>
      <c r="W565" s="84"/>
      <c r="X565" s="84"/>
      <c r="Y565" s="85">
        <f t="shared" si="1133"/>
        <v>0</v>
      </c>
      <c r="Z565" s="84"/>
      <c r="AA565" s="82"/>
    </row>
    <row r="566" spans="1:27" s="40" customFormat="1" ht="39.950000000000003" hidden="1" customHeight="1" x14ac:dyDescent="0.25">
      <c r="A566" s="49">
        <v>32</v>
      </c>
      <c r="B566" s="49" t="str">
        <f t="shared" ref="B566:J566" si="1135">B565</f>
        <v>H D Kote</v>
      </c>
      <c r="C566" s="49" t="str">
        <f t="shared" si="1135"/>
        <v>HDKOTE/1714</v>
      </c>
      <c r="D566" s="49" t="str">
        <f t="shared" si="1135"/>
        <v>PUC College</v>
      </c>
      <c r="E566" s="49" t="str">
        <f t="shared" si="1135"/>
        <v>HDTL56522</v>
      </c>
      <c r="F566" s="49">
        <f t="shared" si="1135"/>
        <v>2.6</v>
      </c>
      <c r="G566" s="49" t="str">
        <f t="shared" si="1135"/>
        <v>GOVT</v>
      </c>
      <c r="H566" s="49" t="str">
        <f t="shared" si="1135"/>
        <v>IPDS</v>
      </c>
      <c r="I566" s="49">
        <f t="shared" si="1135"/>
        <v>5</v>
      </c>
      <c r="J566" s="49" t="str">
        <f t="shared" si="1135"/>
        <v>LT2B(I)</v>
      </c>
      <c r="K566" s="84">
        <f>HDTL56522!Q67</f>
        <v>18564</v>
      </c>
      <c r="L566" s="84">
        <f>HDTL56522!P67</f>
        <v>19076</v>
      </c>
      <c r="M566" s="84">
        <f t="shared" si="1098"/>
        <v>1</v>
      </c>
      <c r="N566" s="84">
        <f t="shared" si="1130"/>
        <v>512</v>
      </c>
      <c r="O566" s="84">
        <f>HDTL56522!F67:F67</f>
        <v>3235.7</v>
      </c>
      <c r="P566" s="84">
        <f>HDTL56522!E67</f>
        <v>3360.9</v>
      </c>
      <c r="Q566" s="84">
        <f t="shared" si="1084"/>
        <v>1</v>
      </c>
      <c r="R566" s="84">
        <f t="shared" si="1131"/>
        <v>125.20000000000027</v>
      </c>
      <c r="S566" s="84">
        <f>HDTL56522!K67</f>
        <v>16319.1</v>
      </c>
      <c r="T566" s="84">
        <f>HDTL56522!J67</f>
        <v>16728.3</v>
      </c>
      <c r="U566" s="84">
        <f t="shared" si="1099"/>
        <v>1</v>
      </c>
      <c r="V566" s="84">
        <f t="shared" si="1132"/>
        <v>409.19999999999891</v>
      </c>
      <c r="W566" s="84"/>
      <c r="X566" s="84"/>
      <c r="Y566" s="85">
        <f t="shared" si="1133"/>
        <v>3.4133333333333331</v>
      </c>
      <c r="Z566" s="84"/>
      <c r="AA566" s="82"/>
    </row>
    <row r="567" spans="1:27" s="40" customFormat="1" ht="39.950000000000003" hidden="1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5"/>
      <c r="Z567" s="84"/>
      <c r="AA567" s="82"/>
    </row>
    <row r="568" spans="1:27" s="40" customFormat="1" ht="39.950000000000003" hidden="1" customHeight="1" x14ac:dyDescent="0.25">
      <c r="A568" s="49">
        <v>1</v>
      </c>
      <c r="B568" s="49" t="s">
        <v>43</v>
      </c>
      <c r="C568" s="57" t="s">
        <v>229</v>
      </c>
      <c r="D568" s="59" t="s">
        <v>231</v>
      </c>
      <c r="E568" s="55" t="s">
        <v>37</v>
      </c>
      <c r="F568" s="50">
        <v>5</v>
      </c>
      <c r="G568" s="49" t="s">
        <v>221</v>
      </c>
      <c r="H568" s="64" t="s">
        <v>222</v>
      </c>
      <c r="I568" s="49">
        <v>5</v>
      </c>
      <c r="J568" s="49" t="s">
        <v>232</v>
      </c>
      <c r="K568" s="84">
        <f>'HKQ1'!Q31</f>
        <v>4255.2</v>
      </c>
      <c r="L568" s="84">
        <f>'HKQ1'!P31</f>
        <v>4427.3</v>
      </c>
      <c r="M568" s="84">
        <f>'[1]April-18'!M31</f>
        <v>1</v>
      </c>
      <c r="N568" s="84">
        <f t="shared" si="0"/>
        <v>172.10000000000036</v>
      </c>
      <c r="O568" s="84">
        <f>'HKQ1'!F31</f>
        <v>2353.4</v>
      </c>
      <c r="P568" s="84">
        <f>'HKQ1'!E31</f>
        <v>2459</v>
      </c>
      <c r="Q568" s="84">
        <v>1</v>
      </c>
      <c r="R568" s="84">
        <f t="shared" si="683"/>
        <v>105.59999999999991</v>
      </c>
      <c r="S568" s="84">
        <f>'HKQ1'!K31</f>
        <v>2300</v>
      </c>
      <c r="T568" s="84">
        <f>'HKQ1'!J31</f>
        <v>2382</v>
      </c>
      <c r="U568" s="84">
        <f>'[1]April-18'!U31</f>
        <v>1</v>
      </c>
      <c r="V568" s="84">
        <f t="shared" si="684"/>
        <v>82</v>
      </c>
      <c r="W568" s="84"/>
      <c r="X568" s="84"/>
      <c r="Y568" s="85">
        <f t="shared" si="917"/>
        <v>1.1473333333333358</v>
      </c>
      <c r="Z568" s="84"/>
      <c r="AA568" s="82" t="str">
        <f>'HKQ1'!B31</f>
        <v>01.08.2019</v>
      </c>
    </row>
    <row r="569" spans="1:27" s="40" customFormat="1" ht="39.950000000000003" hidden="1" customHeight="1" x14ac:dyDescent="0.25">
      <c r="A569" s="49">
        <v>2</v>
      </c>
      <c r="B569" s="49" t="str">
        <f>B568</f>
        <v>H D Kote</v>
      </c>
      <c r="C569" s="49" t="str">
        <f t="shared" ref="C569:J570" si="1136">C568</f>
        <v>HDKOTE/1714</v>
      </c>
      <c r="D569" s="49" t="str">
        <f t="shared" si="1136"/>
        <v>Sub-division Office</v>
      </c>
      <c r="E569" s="49" t="str">
        <f t="shared" si="1136"/>
        <v>HKQ1</v>
      </c>
      <c r="F569" s="49">
        <f t="shared" si="1136"/>
        <v>5</v>
      </c>
      <c r="G569" s="49" t="str">
        <f t="shared" si="1136"/>
        <v>GOVT</v>
      </c>
      <c r="H569" s="49" t="str">
        <f t="shared" si="1136"/>
        <v>IPDS</v>
      </c>
      <c r="I569" s="49">
        <f t="shared" si="1136"/>
        <v>5</v>
      </c>
      <c r="J569" s="49" t="str">
        <f t="shared" si="1136"/>
        <v>LT3(I)</v>
      </c>
      <c r="K569" s="84">
        <f>'HKQ1'!Q32</f>
        <v>4427.3</v>
      </c>
      <c r="L569" s="84">
        <f>'HKQ1'!P32</f>
        <v>4622.8999999999996</v>
      </c>
      <c r="M569" s="84">
        <f>'[1]April-18'!M32</f>
        <v>1</v>
      </c>
      <c r="N569" s="84">
        <f t="shared" si="0"/>
        <v>195.59999999999945</v>
      </c>
      <c r="O569" s="84">
        <f>'HKQ1'!F32</f>
        <v>2459</v>
      </c>
      <c r="P569" s="84">
        <f>'HKQ1'!E32</f>
        <v>2560</v>
      </c>
      <c r="Q569" s="84">
        <f>Q568</f>
        <v>1</v>
      </c>
      <c r="R569" s="84">
        <f t="shared" si="683"/>
        <v>101</v>
      </c>
      <c r="S569" s="84">
        <f>'HKQ1'!K32</f>
        <v>2382</v>
      </c>
      <c r="T569" s="84">
        <f>'HKQ1'!J32</f>
        <v>2475.5</v>
      </c>
      <c r="U569" s="84">
        <f>'[1]April-18'!U32</f>
        <v>1</v>
      </c>
      <c r="V569" s="84">
        <f t="shared" si="684"/>
        <v>93.5</v>
      </c>
      <c r="W569" s="84"/>
      <c r="X569" s="84"/>
      <c r="Y569" s="85">
        <f t="shared" si="917"/>
        <v>1.3039999999999963</v>
      </c>
      <c r="Z569" s="84"/>
      <c r="AA569" s="82" t="str">
        <f>'HKQ1'!B32</f>
        <v>01.09.2019</v>
      </c>
    </row>
    <row r="570" spans="1:27" s="40" customFormat="1" ht="39.950000000000003" hidden="1" customHeight="1" x14ac:dyDescent="0.25">
      <c r="A570" s="49">
        <v>3</v>
      </c>
      <c r="B570" s="49" t="str">
        <f>B569</f>
        <v>H D Kote</v>
      </c>
      <c r="C570" s="49" t="str">
        <f t="shared" si="1136"/>
        <v>HDKOTE/1714</v>
      </c>
      <c r="D570" s="49" t="str">
        <f t="shared" si="1136"/>
        <v>Sub-division Office</v>
      </c>
      <c r="E570" s="49" t="str">
        <f t="shared" si="1136"/>
        <v>HKQ1</v>
      </c>
      <c r="F570" s="49">
        <f t="shared" si="1136"/>
        <v>5</v>
      </c>
      <c r="G570" s="49" t="str">
        <f t="shared" si="1136"/>
        <v>GOVT</v>
      </c>
      <c r="H570" s="49" t="str">
        <f t="shared" si="1136"/>
        <v>IPDS</v>
      </c>
      <c r="I570" s="49">
        <f t="shared" si="1136"/>
        <v>5</v>
      </c>
      <c r="J570" s="49" t="str">
        <f t="shared" si="1136"/>
        <v>LT3(I)</v>
      </c>
      <c r="K570" s="84">
        <f>'HKQ1'!Q33</f>
        <v>4622.8999999999996</v>
      </c>
      <c r="L570" s="84">
        <f>'HKQ1'!P33</f>
        <v>4833.6000000000004</v>
      </c>
      <c r="M570" s="84">
        <f>M569</f>
        <v>1</v>
      </c>
      <c r="N570" s="84">
        <f t="shared" si="0"/>
        <v>210.70000000000073</v>
      </c>
      <c r="O570" s="84">
        <f>'HKQ1'!F33</f>
        <v>2560</v>
      </c>
      <c r="P570" s="84">
        <f>'HKQ1'!E33</f>
        <v>2654</v>
      </c>
      <c r="Q570" s="84">
        <f>Q569</f>
        <v>1</v>
      </c>
      <c r="R570" s="84">
        <f t="shared" si="683"/>
        <v>94</v>
      </c>
      <c r="S570" s="84">
        <f>'HKQ1'!K33</f>
        <v>2475.5</v>
      </c>
      <c r="T570" s="84">
        <f>'HKQ1'!J33</f>
        <v>2596.6999999999998</v>
      </c>
      <c r="U570" s="84">
        <f>U569</f>
        <v>1</v>
      </c>
      <c r="V570" s="84">
        <f t="shared" si="684"/>
        <v>121.19999999999982</v>
      </c>
      <c r="W570" s="84"/>
      <c r="X570" s="84"/>
      <c r="Y570" s="85">
        <f t="shared" si="917"/>
        <v>1.4046666666666714</v>
      </c>
      <c r="Z570" s="84"/>
      <c r="AA570" s="82" t="str">
        <f>'HKQ1'!B33</f>
        <v>01.10.2019</v>
      </c>
    </row>
    <row r="571" spans="1:27" s="40" customFormat="1" ht="39.950000000000003" hidden="1" customHeight="1" x14ac:dyDescent="0.25">
      <c r="A571" s="49">
        <v>4</v>
      </c>
      <c r="B571" s="49" t="str">
        <f t="shared" ref="B571:J574" si="1137">B570</f>
        <v>H D Kote</v>
      </c>
      <c r="C571" s="49" t="str">
        <f t="shared" si="1137"/>
        <v>HDKOTE/1714</v>
      </c>
      <c r="D571" s="49" t="str">
        <f t="shared" si="1137"/>
        <v>Sub-division Office</v>
      </c>
      <c r="E571" s="49" t="str">
        <f t="shared" si="1137"/>
        <v>HKQ1</v>
      </c>
      <c r="F571" s="49">
        <f t="shared" si="1137"/>
        <v>5</v>
      </c>
      <c r="G571" s="49" t="str">
        <f t="shared" si="1137"/>
        <v>GOVT</v>
      </c>
      <c r="H571" s="49" t="str">
        <f t="shared" si="1137"/>
        <v>IPDS</v>
      </c>
      <c r="I571" s="49">
        <f t="shared" si="1137"/>
        <v>5</v>
      </c>
      <c r="J571" s="49" t="str">
        <f t="shared" si="1137"/>
        <v>LT3(I)</v>
      </c>
      <c r="K571" s="84">
        <f>'HKQ1'!Q34</f>
        <v>4833.6000000000004</v>
      </c>
      <c r="L571" s="84">
        <f>'HKQ1'!P34</f>
        <v>5073</v>
      </c>
      <c r="M571" s="84">
        <f t="shared" ref="M571:M600" si="1138">M570</f>
        <v>1</v>
      </c>
      <c r="N571" s="84">
        <f t="shared" si="0"/>
        <v>239.39999999999964</v>
      </c>
      <c r="O571" s="84">
        <f>'HKQ1'!F34</f>
        <v>2654</v>
      </c>
      <c r="P571" s="84">
        <f>'HKQ1'!E34</f>
        <v>2770.6</v>
      </c>
      <c r="Q571" s="84">
        <f t="shared" ref="Q571:Q600" si="1139">Q570</f>
        <v>1</v>
      </c>
      <c r="R571" s="84">
        <f t="shared" si="683"/>
        <v>116.59999999999991</v>
      </c>
      <c r="S571" s="84">
        <f>'HKQ1'!K34</f>
        <v>2596.6999999999998</v>
      </c>
      <c r="T571" s="84">
        <f>'HKQ1'!J34</f>
        <v>2716.7</v>
      </c>
      <c r="U571" s="84">
        <f t="shared" ref="U571:U600" si="1140">U570</f>
        <v>1</v>
      </c>
      <c r="V571" s="84">
        <f t="shared" si="684"/>
        <v>120</v>
      </c>
      <c r="W571" s="84"/>
      <c r="X571" s="84"/>
      <c r="Y571" s="85">
        <f t="shared" si="917"/>
        <v>1.5959999999999976</v>
      </c>
      <c r="Z571" s="84"/>
      <c r="AA571" s="82" t="str">
        <f>'HKQ1'!B34</f>
        <v>01.11.2019</v>
      </c>
    </row>
    <row r="572" spans="1:27" s="40" customFormat="1" ht="39.950000000000003" hidden="1" customHeight="1" x14ac:dyDescent="0.25">
      <c r="A572" s="49">
        <v>5</v>
      </c>
      <c r="B572" s="49" t="str">
        <f t="shared" si="1137"/>
        <v>H D Kote</v>
      </c>
      <c r="C572" s="49" t="str">
        <f t="shared" si="1137"/>
        <v>HDKOTE/1714</v>
      </c>
      <c r="D572" s="49" t="str">
        <f t="shared" si="1137"/>
        <v>Sub-division Office</v>
      </c>
      <c r="E572" s="49" t="str">
        <f t="shared" si="1137"/>
        <v>HKQ1</v>
      </c>
      <c r="F572" s="49">
        <f t="shared" si="1137"/>
        <v>5</v>
      </c>
      <c r="G572" s="49" t="str">
        <f t="shared" si="1137"/>
        <v>GOVT</v>
      </c>
      <c r="H572" s="49" t="str">
        <f t="shared" si="1137"/>
        <v>IPDS</v>
      </c>
      <c r="I572" s="49">
        <f t="shared" si="1137"/>
        <v>5</v>
      </c>
      <c r="J572" s="49" t="str">
        <f t="shared" si="1137"/>
        <v>LT3(I)</v>
      </c>
      <c r="K572" s="84">
        <f>'HKQ1'!Q35</f>
        <v>5073</v>
      </c>
      <c r="L572" s="84">
        <f>'HKQ1'!P35</f>
        <v>5375</v>
      </c>
      <c r="M572" s="84">
        <f t="shared" si="1138"/>
        <v>1</v>
      </c>
      <c r="N572" s="84">
        <f t="shared" si="0"/>
        <v>302</v>
      </c>
      <c r="O572" s="84">
        <f>'HKQ1'!F35</f>
        <v>2770.6</v>
      </c>
      <c r="P572" s="84">
        <f>'HKQ1'!E35</f>
        <v>2894.6</v>
      </c>
      <c r="Q572" s="84">
        <f t="shared" si="1139"/>
        <v>1</v>
      </c>
      <c r="R572" s="84">
        <f t="shared" si="683"/>
        <v>124</v>
      </c>
      <c r="S572" s="84">
        <f>'HKQ1'!K35</f>
        <v>2716.7</v>
      </c>
      <c r="T572" s="84">
        <f>'HKQ1'!J35</f>
        <v>2886.7</v>
      </c>
      <c r="U572" s="84">
        <f t="shared" si="1140"/>
        <v>1</v>
      </c>
      <c r="V572" s="84">
        <f t="shared" si="684"/>
        <v>170</v>
      </c>
      <c r="W572" s="84"/>
      <c r="X572" s="84"/>
      <c r="Y572" s="85">
        <f t="shared" si="917"/>
        <v>2.0133333333333332</v>
      </c>
      <c r="Z572" s="84"/>
      <c r="AA572" s="82" t="str">
        <f>'HKQ1'!B35</f>
        <v>01.12.2019</v>
      </c>
    </row>
    <row r="573" spans="1:27" s="40" customFormat="1" ht="39.950000000000003" hidden="1" customHeight="1" x14ac:dyDescent="0.25">
      <c r="A573" s="49">
        <v>6</v>
      </c>
      <c r="B573" s="49" t="str">
        <f t="shared" si="1137"/>
        <v>H D Kote</v>
      </c>
      <c r="C573" s="49" t="str">
        <f t="shared" si="1137"/>
        <v>HDKOTE/1714</v>
      </c>
      <c r="D573" s="49" t="str">
        <f t="shared" si="1137"/>
        <v>Sub-division Office</v>
      </c>
      <c r="E573" s="49" t="str">
        <f t="shared" si="1137"/>
        <v>HKQ1</v>
      </c>
      <c r="F573" s="49">
        <f t="shared" si="1137"/>
        <v>5</v>
      </c>
      <c r="G573" s="49" t="str">
        <f t="shared" si="1137"/>
        <v>GOVT</v>
      </c>
      <c r="H573" s="49" t="str">
        <f t="shared" si="1137"/>
        <v>IPDS</v>
      </c>
      <c r="I573" s="49">
        <f t="shared" si="1137"/>
        <v>5</v>
      </c>
      <c r="J573" s="49" t="str">
        <f t="shared" si="1137"/>
        <v>LT3(I)</v>
      </c>
      <c r="K573" s="84">
        <f>'HKQ1'!Q36</f>
        <v>5375</v>
      </c>
      <c r="L573" s="84">
        <f>'HKQ1'!P36</f>
        <v>5706.8</v>
      </c>
      <c r="M573" s="84">
        <f t="shared" si="1138"/>
        <v>1</v>
      </c>
      <c r="N573" s="84">
        <f t="shared" si="0"/>
        <v>331.80000000000018</v>
      </c>
      <c r="O573" s="84">
        <f>'HKQ1'!F36</f>
        <v>2894.6</v>
      </c>
      <c r="P573" s="84">
        <f>'HKQ1'!E36</f>
        <v>3017.6</v>
      </c>
      <c r="Q573" s="84">
        <f t="shared" si="1139"/>
        <v>1</v>
      </c>
      <c r="R573" s="84">
        <f t="shared" si="683"/>
        <v>123</v>
      </c>
      <c r="S573" s="84">
        <f>'HKQ1'!K36</f>
        <v>2886.7</v>
      </c>
      <c r="T573" s="84">
        <f>'HKQ1'!J36</f>
        <v>3091.9</v>
      </c>
      <c r="U573" s="84">
        <f t="shared" si="1140"/>
        <v>1</v>
      </c>
      <c r="V573" s="84">
        <f t="shared" si="684"/>
        <v>205.20000000000027</v>
      </c>
      <c r="W573" s="84"/>
      <c r="X573" s="84"/>
      <c r="Y573" s="85">
        <f t="shared" si="917"/>
        <v>2.2120000000000011</v>
      </c>
      <c r="Z573" s="84"/>
      <c r="AA573" s="82" t="str">
        <f>'HKQ1'!B36</f>
        <v>01.01.2020</v>
      </c>
    </row>
    <row r="574" spans="1:27" s="40" customFormat="1" ht="39.950000000000003" hidden="1" customHeight="1" x14ac:dyDescent="0.25">
      <c r="A574" s="49">
        <v>7</v>
      </c>
      <c r="B574" s="49" t="str">
        <f t="shared" si="1137"/>
        <v>H D Kote</v>
      </c>
      <c r="C574" s="49" t="str">
        <f t="shared" si="1137"/>
        <v>HDKOTE/1714</v>
      </c>
      <c r="D574" s="49" t="str">
        <f t="shared" si="1137"/>
        <v>Sub-division Office</v>
      </c>
      <c r="E574" s="49" t="str">
        <f t="shared" si="1137"/>
        <v>HKQ1</v>
      </c>
      <c r="F574" s="49">
        <f t="shared" si="1137"/>
        <v>5</v>
      </c>
      <c r="G574" s="49" t="str">
        <f t="shared" si="1137"/>
        <v>GOVT</v>
      </c>
      <c r="H574" s="49" t="str">
        <f t="shared" si="1137"/>
        <v>IPDS</v>
      </c>
      <c r="I574" s="49">
        <f t="shared" si="1137"/>
        <v>5</v>
      </c>
      <c r="J574" s="49" t="str">
        <f t="shared" si="1137"/>
        <v>LT3(I)</v>
      </c>
      <c r="K574" s="84">
        <f>'HKQ1'!Q37</f>
        <v>5706.8</v>
      </c>
      <c r="L574" s="84">
        <f>'HKQ1'!P37</f>
        <v>6057.6</v>
      </c>
      <c r="M574" s="84">
        <f t="shared" si="1138"/>
        <v>1</v>
      </c>
      <c r="N574" s="84">
        <f t="shared" si="0"/>
        <v>350.80000000000018</v>
      </c>
      <c r="O574" s="84">
        <f>'HKQ1'!F37</f>
        <v>3017.6</v>
      </c>
      <c r="P574" s="84">
        <f>'HKQ1'!E37</f>
        <v>3110</v>
      </c>
      <c r="Q574" s="84">
        <f t="shared" si="1139"/>
        <v>1</v>
      </c>
      <c r="R574" s="84">
        <f t="shared" si="683"/>
        <v>92.400000000000091</v>
      </c>
      <c r="S574" s="84">
        <f>'HKQ1'!K37</f>
        <v>3091.9</v>
      </c>
      <c r="T574" s="84">
        <f>'HKQ1'!J37</f>
        <v>3330.5</v>
      </c>
      <c r="U574" s="84">
        <f t="shared" si="1140"/>
        <v>1</v>
      </c>
      <c r="V574" s="84">
        <f t="shared" si="684"/>
        <v>238.59999999999991</v>
      </c>
      <c r="W574" s="84"/>
      <c r="X574" s="84"/>
      <c r="Y574" s="85">
        <f t="shared" si="917"/>
        <v>2.3386666666666676</v>
      </c>
      <c r="Z574" s="84"/>
      <c r="AA574" s="82" t="s">
        <v>253</v>
      </c>
    </row>
    <row r="575" spans="1:27" s="40" customFormat="1" ht="39.950000000000003" hidden="1" customHeight="1" x14ac:dyDescent="0.25">
      <c r="A575" s="49">
        <v>8</v>
      </c>
      <c r="B575" s="49" t="str">
        <f t="shared" ref="B575:J575" si="1141">B574</f>
        <v>H D Kote</v>
      </c>
      <c r="C575" s="49" t="str">
        <f t="shared" si="1141"/>
        <v>HDKOTE/1714</v>
      </c>
      <c r="D575" s="49" t="str">
        <f t="shared" si="1141"/>
        <v>Sub-division Office</v>
      </c>
      <c r="E575" s="49" t="str">
        <f t="shared" si="1141"/>
        <v>HKQ1</v>
      </c>
      <c r="F575" s="49">
        <f t="shared" si="1141"/>
        <v>5</v>
      </c>
      <c r="G575" s="49" t="str">
        <f t="shared" si="1141"/>
        <v>GOVT</v>
      </c>
      <c r="H575" s="49" t="str">
        <f t="shared" si="1141"/>
        <v>IPDS</v>
      </c>
      <c r="I575" s="49">
        <f t="shared" si="1141"/>
        <v>5</v>
      </c>
      <c r="J575" s="49" t="str">
        <f t="shared" si="1141"/>
        <v>LT3(I)</v>
      </c>
      <c r="K575" s="84">
        <f>'HKQ1'!Q38</f>
        <v>6057.6</v>
      </c>
      <c r="L575" s="84">
        <f>'HKQ1'!P38</f>
        <v>6320</v>
      </c>
      <c r="M575" s="84">
        <f t="shared" si="1138"/>
        <v>1</v>
      </c>
      <c r="N575" s="84">
        <f t="shared" ref="N575:N581" si="1142">(L575-K575)*M575</f>
        <v>262.39999999999964</v>
      </c>
      <c r="O575" s="84">
        <f>'HKQ1'!F38</f>
        <v>3110</v>
      </c>
      <c r="P575" s="84">
        <f>'HKQ1'!E38</f>
        <v>3195.2</v>
      </c>
      <c r="Q575" s="84">
        <f t="shared" si="1139"/>
        <v>1</v>
      </c>
      <c r="R575" s="84">
        <f t="shared" ref="R575:R581" si="1143">(P575-O575)*Q575</f>
        <v>85.199999999999818</v>
      </c>
      <c r="S575" s="84">
        <f>'HKQ1'!K38</f>
        <v>3330.5</v>
      </c>
      <c r="T575" s="84">
        <f>'HKQ1'!J38</f>
        <v>3562</v>
      </c>
      <c r="U575" s="84">
        <f t="shared" si="1140"/>
        <v>1</v>
      </c>
      <c r="V575" s="84">
        <f t="shared" ref="V575:V581" si="1144">(T575-S575)*U575</f>
        <v>231.5</v>
      </c>
      <c r="W575" s="84"/>
      <c r="X575" s="84"/>
      <c r="Y575" s="85">
        <f t="shared" ref="Y575:Y581" si="1145">N575/30/I575</f>
        <v>1.7493333333333307</v>
      </c>
      <c r="Z575" s="84"/>
      <c r="AA575" s="82" t="s">
        <v>254</v>
      </c>
    </row>
    <row r="576" spans="1:27" s="40" customFormat="1" ht="39.950000000000003" hidden="1" customHeight="1" x14ac:dyDescent="0.25">
      <c r="A576" s="49">
        <v>9</v>
      </c>
      <c r="B576" s="49" t="str">
        <f t="shared" ref="B576:J576" si="1146">B575</f>
        <v>H D Kote</v>
      </c>
      <c r="C576" s="49" t="str">
        <f t="shared" si="1146"/>
        <v>HDKOTE/1714</v>
      </c>
      <c r="D576" s="49" t="str">
        <f t="shared" si="1146"/>
        <v>Sub-division Office</v>
      </c>
      <c r="E576" s="49" t="str">
        <f t="shared" si="1146"/>
        <v>HKQ1</v>
      </c>
      <c r="F576" s="49">
        <f t="shared" si="1146"/>
        <v>5</v>
      </c>
      <c r="G576" s="49" t="str">
        <f t="shared" si="1146"/>
        <v>GOVT</v>
      </c>
      <c r="H576" s="49" t="str">
        <f t="shared" si="1146"/>
        <v>IPDS</v>
      </c>
      <c r="I576" s="49">
        <f t="shared" si="1146"/>
        <v>5</v>
      </c>
      <c r="J576" s="49" t="str">
        <f t="shared" si="1146"/>
        <v>LT3(I)</v>
      </c>
      <c r="K576" s="84">
        <f>'HKQ1'!Q39</f>
        <v>6320</v>
      </c>
      <c r="L576" s="84">
        <f>'HKQ1'!P39</f>
        <v>6580</v>
      </c>
      <c r="M576" s="84">
        <f t="shared" si="1138"/>
        <v>1</v>
      </c>
      <c r="N576" s="84">
        <f t="shared" si="1142"/>
        <v>260</v>
      </c>
      <c r="O576" s="84">
        <f>'HKQ1'!F39</f>
        <v>3195.2</v>
      </c>
      <c r="P576" s="84">
        <f>'HKQ1'!E39</f>
        <v>3281.2</v>
      </c>
      <c r="Q576" s="84">
        <f t="shared" si="1139"/>
        <v>1</v>
      </c>
      <c r="R576" s="84">
        <f t="shared" si="1143"/>
        <v>86</v>
      </c>
      <c r="S576" s="84">
        <f>'HKQ1'!K39</f>
        <v>3562</v>
      </c>
      <c r="T576" s="84">
        <f>'HKQ1'!J39</f>
        <v>3782</v>
      </c>
      <c r="U576" s="84">
        <f t="shared" si="1140"/>
        <v>1</v>
      </c>
      <c r="V576" s="84">
        <f t="shared" si="1144"/>
        <v>220</v>
      </c>
      <c r="W576" s="84"/>
      <c r="X576" s="84"/>
      <c r="Y576" s="85">
        <f t="shared" si="1145"/>
        <v>1.7333333333333332</v>
      </c>
      <c r="Z576" s="84"/>
      <c r="AA576" s="82" t="s">
        <v>258</v>
      </c>
    </row>
    <row r="577" spans="1:27" s="40" customFormat="1" ht="39.950000000000003" hidden="1" customHeight="1" x14ac:dyDescent="0.25">
      <c r="A577" s="49">
        <v>10</v>
      </c>
      <c r="B577" s="49" t="str">
        <f t="shared" ref="B577:J577" si="1147">B576</f>
        <v>H D Kote</v>
      </c>
      <c r="C577" s="49" t="str">
        <f t="shared" si="1147"/>
        <v>HDKOTE/1714</v>
      </c>
      <c r="D577" s="49" t="str">
        <f t="shared" si="1147"/>
        <v>Sub-division Office</v>
      </c>
      <c r="E577" s="49" t="str">
        <f t="shared" si="1147"/>
        <v>HKQ1</v>
      </c>
      <c r="F577" s="49">
        <f t="shared" si="1147"/>
        <v>5</v>
      </c>
      <c r="G577" s="49" t="str">
        <f t="shared" si="1147"/>
        <v>GOVT</v>
      </c>
      <c r="H577" s="49" t="str">
        <f t="shared" si="1147"/>
        <v>IPDS</v>
      </c>
      <c r="I577" s="49">
        <f t="shared" si="1147"/>
        <v>5</v>
      </c>
      <c r="J577" s="49" t="str">
        <f t="shared" si="1147"/>
        <v>LT3(I)</v>
      </c>
      <c r="K577" s="84">
        <f>'HKQ1'!Q40</f>
        <v>0</v>
      </c>
      <c r="L577" s="84">
        <f>'HKQ1'!P40</f>
        <v>0</v>
      </c>
      <c r="M577" s="84">
        <f t="shared" si="1138"/>
        <v>1</v>
      </c>
      <c r="N577" s="84">
        <f t="shared" si="1142"/>
        <v>0</v>
      </c>
      <c r="O577" s="84">
        <f>'HKQ1'!F40</f>
        <v>0</v>
      </c>
      <c r="P577" s="84">
        <f>'HKQ1'!E40</f>
        <v>0</v>
      </c>
      <c r="Q577" s="84">
        <f t="shared" si="1139"/>
        <v>1</v>
      </c>
      <c r="R577" s="84">
        <f t="shared" si="1143"/>
        <v>0</v>
      </c>
      <c r="S577" s="84">
        <f>'HKQ1'!K40</f>
        <v>0</v>
      </c>
      <c r="T577" s="84">
        <f>'HKQ1'!J40</f>
        <v>0</v>
      </c>
      <c r="U577" s="84">
        <f t="shared" si="1140"/>
        <v>1</v>
      </c>
      <c r="V577" s="84">
        <f t="shared" si="1144"/>
        <v>0</v>
      </c>
      <c r="W577" s="84"/>
      <c r="X577" s="84"/>
      <c r="Y577" s="85">
        <f t="shared" si="1145"/>
        <v>0</v>
      </c>
      <c r="Z577" s="84"/>
      <c r="AA577" s="82"/>
    </row>
    <row r="578" spans="1:27" s="40" customFormat="1" ht="39.950000000000003" hidden="1" customHeight="1" x14ac:dyDescent="0.25">
      <c r="A578" s="49">
        <v>11</v>
      </c>
      <c r="B578" s="49" t="str">
        <f t="shared" ref="B578:J578" si="1148">B577</f>
        <v>H D Kote</v>
      </c>
      <c r="C578" s="49" t="str">
        <f t="shared" si="1148"/>
        <v>HDKOTE/1714</v>
      </c>
      <c r="D578" s="49" t="str">
        <f t="shared" si="1148"/>
        <v>Sub-division Office</v>
      </c>
      <c r="E578" s="49" t="str">
        <f t="shared" si="1148"/>
        <v>HKQ1</v>
      </c>
      <c r="F578" s="49">
        <f t="shared" si="1148"/>
        <v>5</v>
      </c>
      <c r="G578" s="49" t="str">
        <f t="shared" si="1148"/>
        <v>GOVT</v>
      </c>
      <c r="H578" s="49" t="str">
        <f t="shared" si="1148"/>
        <v>IPDS</v>
      </c>
      <c r="I578" s="49">
        <f t="shared" si="1148"/>
        <v>5</v>
      </c>
      <c r="J578" s="49" t="str">
        <f t="shared" si="1148"/>
        <v>LT3(I)</v>
      </c>
      <c r="K578" s="84">
        <f>'HKQ1'!Q41</f>
        <v>6580</v>
      </c>
      <c r="L578" s="84">
        <f>'HKQ1'!P41</f>
        <v>6776</v>
      </c>
      <c r="M578" s="84">
        <f t="shared" si="1138"/>
        <v>1</v>
      </c>
      <c r="N578" s="84">
        <f t="shared" si="1142"/>
        <v>196</v>
      </c>
      <c r="O578" s="84">
        <f>'HKQ1'!F41</f>
        <v>3281.2</v>
      </c>
      <c r="P578" s="84">
        <f>'HKQ1'!E41</f>
        <v>3397.2</v>
      </c>
      <c r="Q578" s="84">
        <f t="shared" si="1139"/>
        <v>1</v>
      </c>
      <c r="R578" s="84">
        <f t="shared" si="1143"/>
        <v>116</v>
      </c>
      <c r="S578" s="84">
        <f>'HKQ1'!K41</f>
        <v>3782</v>
      </c>
      <c r="T578" s="84">
        <f>'HKQ1'!J41</f>
        <v>3849.6</v>
      </c>
      <c r="U578" s="84">
        <f t="shared" si="1140"/>
        <v>1</v>
      </c>
      <c r="V578" s="84">
        <f t="shared" si="1144"/>
        <v>67.599999999999909</v>
      </c>
      <c r="W578" s="84"/>
      <c r="X578" s="84"/>
      <c r="Y578" s="85">
        <f t="shared" si="1145"/>
        <v>1.3066666666666666</v>
      </c>
      <c r="Z578" s="84"/>
      <c r="AA578" s="82" t="s">
        <v>259</v>
      </c>
    </row>
    <row r="579" spans="1:27" s="40" customFormat="1" ht="39.950000000000003" hidden="1" customHeight="1" x14ac:dyDescent="0.25">
      <c r="A579" s="49">
        <v>12</v>
      </c>
      <c r="B579" s="49" t="str">
        <f t="shared" ref="B579:J579" si="1149">B578</f>
        <v>H D Kote</v>
      </c>
      <c r="C579" s="49" t="str">
        <f t="shared" si="1149"/>
        <v>HDKOTE/1714</v>
      </c>
      <c r="D579" s="49" t="str">
        <f t="shared" si="1149"/>
        <v>Sub-division Office</v>
      </c>
      <c r="E579" s="49" t="str">
        <f t="shared" si="1149"/>
        <v>HKQ1</v>
      </c>
      <c r="F579" s="49">
        <f t="shared" si="1149"/>
        <v>5</v>
      </c>
      <c r="G579" s="49" t="str">
        <f t="shared" si="1149"/>
        <v>GOVT</v>
      </c>
      <c r="H579" s="49" t="str">
        <f t="shared" si="1149"/>
        <v>IPDS</v>
      </c>
      <c r="I579" s="49">
        <f t="shared" si="1149"/>
        <v>5</v>
      </c>
      <c r="J579" s="49" t="str">
        <f t="shared" si="1149"/>
        <v>LT3(I)</v>
      </c>
      <c r="K579" s="84">
        <f>'HKQ1'!Q42</f>
        <v>6776</v>
      </c>
      <c r="L579" s="84">
        <f>'HKQ1'!P42</f>
        <v>6942.3</v>
      </c>
      <c r="M579" s="84">
        <f t="shared" si="1138"/>
        <v>1</v>
      </c>
      <c r="N579" s="84">
        <f t="shared" si="1142"/>
        <v>166.30000000000018</v>
      </c>
      <c r="O579" s="84">
        <f>'HKQ1'!F42</f>
        <v>3397.2</v>
      </c>
      <c r="P579" s="84">
        <f>'HKQ1'!E42</f>
        <v>3506.5</v>
      </c>
      <c r="Q579" s="84">
        <f t="shared" si="1139"/>
        <v>1</v>
      </c>
      <c r="R579" s="84">
        <f t="shared" si="1143"/>
        <v>109.30000000000018</v>
      </c>
      <c r="S579" s="84">
        <f>'HKQ1'!K42</f>
        <v>3849.6</v>
      </c>
      <c r="T579" s="84">
        <f>'HKQ1'!J42</f>
        <v>3911.1</v>
      </c>
      <c r="U579" s="84">
        <f t="shared" si="1140"/>
        <v>1</v>
      </c>
      <c r="V579" s="84">
        <f t="shared" si="1144"/>
        <v>61.5</v>
      </c>
      <c r="W579" s="84"/>
      <c r="X579" s="84"/>
      <c r="Y579" s="85">
        <f t="shared" si="1145"/>
        <v>1.1086666666666678</v>
      </c>
      <c r="Z579" s="84"/>
      <c r="AA579" s="82" t="s">
        <v>263</v>
      </c>
    </row>
    <row r="580" spans="1:27" s="40" customFormat="1" ht="39.950000000000003" hidden="1" customHeight="1" x14ac:dyDescent="0.25">
      <c r="A580" s="49">
        <v>13</v>
      </c>
      <c r="B580" s="49" t="str">
        <f t="shared" ref="B580:J580" si="1150">B579</f>
        <v>H D Kote</v>
      </c>
      <c r="C580" s="49" t="str">
        <f t="shared" si="1150"/>
        <v>HDKOTE/1714</v>
      </c>
      <c r="D580" s="49" t="str">
        <f t="shared" si="1150"/>
        <v>Sub-division Office</v>
      </c>
      <c r="E580" s="49" t="str">
        <f t="shared" si="1150"/>
        <v>HKQ1</v>
      </c>
      <c r="F580" s="49">
        <f t="shared" si="1150"/>
        <v>5</v>
      </c>
      <c r="G580" s="49" t="str">
        <f t="shared" si="1150"/>
        <v>GOVT</v>
      </c>
      <c r="H580" s="49" t="str">
        <f t="shared" si="1150"/>
        <v>IPDS</v>
      </c>
      <c r="I580" s="49">
        <f t="shared" si="1150"/>
        <v>5</v>
      </c>
      <c r="J580" s="49" t="str">
        <f t="shared" si="1150"/>
        <v>LT3(I)</v>
      </c>
      <c r="K580" s="84">
        <f>'HKQ1'!Q43</f>
        <v>6942.3</v>
      </c>
      <c r="L580" s="84">
        <f>'HKQ1'!P43</f>
        <v>7065.5</v>
      </c>
      <c r="M580" s="84">
        <f t="shared" si="1138"/>
        <v>1</v>
      </c>
      <c r="N580" s="84">
        <f t="shared" si="1142"/>
        <v>123.19999999999982</v>
      </c>
      <c r="O580" s="84">
        <f>'HKQ1'!F43</f>
        <v>3506.5</v>
      </c>
      <c r="P580" s="84">
        <f>'HKQ1'!E43</f>
        <v>3601.3</v>
      </c>
      <c r="Q580" s="84">
        <f t="shared" si="1139"/>
        <v>1</v>
      </c>
      <c r="R580" s="84">
        <f t="shared" si="1143"/>
        <v>94.800000000000182</v>
      </c>
      <c r="S580" s="84">
        <f>'HKQ1'!K43</f>
        <v>3911.1</v>
      </c>
      <c r="T580" s="84">
        <f>'HKQ1'!J43</f>
        <v>3961.9</v>
      </c>
      <c r="U580" s="84">
        <f t="shared" si="1140"/>
        <v>1</v>
      </c>
      <c r="V580" s="84">
        <f t="shared" si="1144"/>
        <v>50.800000000000182</v>
      </c>
      <c r="W580" s="84"/>
      <c r="X580" s="84"/>
      <c r="Y580" s="85">
        <f t="shared" si="1145"/>
        <v>0.82133333333333203</v>
      </c>
      <c r="Z580" s="84"/>
      <c r="AA580" s="82" t="s">
        <v>265</v>
      </c>
    </row>
    <row r="581" spans="1:27" s="40" customFormat="1" ht="39.950000000000003" hidden="1" customHeight="1" x14ac:dyDescent="0.25">
      <c r="A581" s="49">
        <v>14</v>
      </c>
      <c r="B581" s="49" t="str">
        <f t="shared" ref="B581:J581" si="1151">B580</f>
        <v>H D Kote</v>
      </c>
      <c r="C581" s="49" t="str">
        <f t="shared" si="1151"/>
        <v>HDKOTE/1714</v>
      </c>
      <c r="D581" s="49" t="str">
        <f t="shared" si="1151"/>
        <v>Sub-division Office</v>
      </c>
      <c r="E581" s="49" t="str">
        <f t="shared" si="1151"/>
        <v>HKQ1</v>
      </c>
      <c r="F581" s="49">
        <f t="shared" si="1151"/>
        <v>5</v>
      </c>
      <c r="G581" s="49" t="str">
        <f t="shared" si="1151"/>
        <v>GOVT</v>
      </c>
      <c r="H581" s="49" t="str">
        <f t="shared" si="1151"/>
        <v>IPDS</v>
      </c>
      <c r="I581" s="49">
        <f t="shared" si="1151"/>
        <v>5</v>
      </c>
      <c r="J581" s="49" t="str">
        <f t="shared" si="1151"/>
        <v>LT3(I)</v>
      </c>
      <c r="K581" s="84">
        <f>'HKQ1'!Q44</f>
        <v>7065.5</v>
      </c>
      <c r="L581" s="84">
        <f>'HKQ1'!P44</f>
        <v>7232.8</v>
      </c>
      <c r="M581" s="84">
        <f t="shared" si="1138"/>
        <v>1</v>
      </c>
      <c r="N581" s="84">
        <f t="shared" si="1142"/>
        <v>167.30000000000018</v>
      </c>
      <c r="O581" s="84">
        <f>'HKQ1'!F44</f>
        <v>3601.3</v>
      </c>
      <c r="P581" s="84">
        <f>'HKQ1'!E44</f>
        <v>3687.8</v>
      </c>
      <c r="Q581" s="84">
        <f t="shared" si="1139"/>
        <v>1</v>
      </c>
      <c r="R581" s="84">
        <f t="shared" si="1143"/>
        <v>86.5</v>
      </c>
      <c r="S581" s="84">
        <f>'HKQ1'!K44</f>
        <v>3961.9</v>
      </c>
      <c r="T581" s="84">
        <f>'HKQ1'!J44</f>
        <v>4026.1</v>
      </c>
      <c r="U581" s="84">
        <f t="shared" si="1140"/>
        <v>1</v>
      </c>
      <c r="V581" s="84">
        <f t="shared" si="1144"/>
        <v>64.199999999999818</v>
      </c>
      <c r="W581" s="84"/>
      <c r="X581" s="84"/>
      <c r="Y581" s="85">
        <f t="shared" si="1145"/>
        <v>1.1153333333333344</v>
      </c>
      <c r="Z581" s="84"/>
      <c r="AA581" s="82"/>
    </row>
    <row r="582" spans="1:27" s="40" customFormat="1" ht="39.950000000000003" hidden="1" customHeight="1" x14ac:dyDescent="0.25">
      <c r="A582" s="49">
        <v>15</v>
      </c>
      <c r="B582" s="49" t="str">
        <f t="shared" ref="B582:J582" si="1152">B581</f>
        <v>H D Kote</v>
      </c>
      <c r="C582" s="49" t="str">
        <f t="shared" si="1152"/>
        <v>HDKOTE/1714</v>
      </c>
      <c r="D582" s="49" t="str">
        <f t="shared" si="1152"/>
        <v>Sub-division Office</v>
      </c>
      <c r="E582" s="49" t="str">
        <f t="shared" si="1152"/>
        <v>HKQ1</v>
      </c>
      <c r="F582" s="49">
        <f t="shared" si="1152"/>
        <v>5</v>
      </c>
      <c r="G582" s="49" t="str">
        <f t="shared" si="1152"/>
        <v>GOVT</v>
      </c>
      <c r="H582" s="49" t="str">
        <f t="shared" si="1152"/>
        <v>IPDS</v>
      </c>
      <c r="I582" s="49">
        <f t="shared" si="1152"/>
        <v>5</v>
      </c>
      <c r="J582" s="49" t="str">
        <f t="shared" si="1152"/>
        <v>LT3(I)</v>
      </c>
      <c r="K582" s="84">
        <f>'HKQ1'!Q45</f>
        <v>7232.8</v>
      </c>
      <c r="L582" s="84">
        <f>'HKQ1'!P45</f>
        <v>7425</v>
      </c>
      <c r="M582" s="84">
        <f t="shared" si="1138"/>
        <v>1</v>
      </c>
      <c r="N582" s="84">
        <f t="shared" ref="N582:N590" si="1153">(L582-K582)*M582</f>
        <v>192.19999999999982</v>
      </c>
      <c r="O582" s="84">
        <f>'HKQ1'!F45</f>
        <v>3687.8</v>
      </c>
      <c r="P582" s="84">
        <f>'HKQ1'!E45</f>
        <v>3782.2</v>
      </c>
      <c r="Q582" s="84">
        <f t="shared" si="1139"/>
        <v>1</v>
      </c>
      <c r="R582" s="84">
        <f t="shared" ref="R582:R590" si="1154">(P582-O582)*Q582</f>
        <v>94.399999999999636</v>
      </c>
      <c r="S582" s="84">
        <f>'HKQ1'!K45</f>
        <v>4026.1</v>
      </c>
      <c r="T582" s="84">
        <f>'HKQ1'!J45</f>
        <v>4121.7</v>
      </c>
      <c r="U582" s="84">
        <f t="shared" si="1140"/>
        <v>1</v>
      </c>
      <c r="V582" s="84">
        <f t="shared" ref="V582:V590" si="1155">(T582-S582)*U582</f>
        <v>95.599999999999909</v>
      </c>
      <c r="W582" s="84"/>
      <c r="X582" s="84"/>
      <c r="Y582" s="85">
        <f t="shared" ref="Y582:Y590" si="1156">N582/30/I582</f>
        <v>1.2813333333333321</v>
      </c>
      <c r="Z582" s="84"/>
      <c r="AA582" s="82"/>
    </row>
    <row r="583" spans="1:27" s="40" customFormat="1" ht="39.950000000000003" hidden="1" customHeight="1" x14ac:dyDescent="0.25">
      <c r="A583" s="49">
        <v>16</v>
      </c>
      <c r="B583" s="49" t="str">
        <f t="shared" ref="B583:J583" si="1157">B582</f>
        <v>H D Kote</v>
      </c>
      <c r="C583" s="49" t="str">
        <f t="shared" si="1157"/>
        <v>HDKOTE/1714</v>
      </c>
      <c r="D583" s="49" t="str">
        <f t="shared" si="1157"/>
        <v>Sub-division Office</v>
      </c>
      <c r="E583" s="49" t="str">
        <f t="shared" si="1157"/>
        <v>HKQ1</v>
      </c>
      <c r="F583" s="49">
        <f t="shared" si="1157"/>
        <v>5</v>
      </c>
      <c r="G583" s="49" t="str">
        <f t="shared" si="1157"/>
        <v>GOVT</v>
      </c>
      <c r="H583" s="49" t="str">
        <f t="shared" si="1157"/>
        <v>IPDS</v>
      </c>
      <c r="I583" s="49">
        <f t="shared" si="1157"/>
        <v>5</v>
      </c>
      <c r="J583" s="49" t="str">
        <f t="shared" si="1157"/>
        <v>LT3(I)</v>
      </c>
      <c r="K583" s="84">
        <f>'HKQ1'!Q46</f>
        <v>7425</v>
      </c>
      <c r="L583" s="84">
        <f>'HKQ1'!P46</f>
        <v>7612</v>
      </c>
      <c r="M583" s="84">
        <f t="shared" si="1138"/>
        <v>1</v>
      </c>
      <c r="N583" s="84">
        <f t="shared" si="1153"/>
        <v>187</v>
      </c>
      <c r="O583" s="84">
        <f>'HKQ1'!F46</f>
        <v>3782.2</v>
      </c>
      <c r="P583" s="84">
        <f>'HKQ1'!E46</f>
        <v>3880.9</v>
      </c>
      <c r="Q583" s="84">
        <f t="shared" si="1139"/>
        <v>1</v>
      </c>
      <c r="R583" s="84">
        <f t="shared" si="1154"/>
        <v>98.700000000000273</v>
      </c>
      <c r="S583" s="84">
        <f>'HKQ1'!K46</f>
        <v>4121.7</v>
      </c>
      <c r="T583" s="84">
        <f>'HKQ1'!J46</f>
        <v>4225.8999999999996</v>
      </c>
      <c r="U583" s="84">
        <f t="shared" si="1140"/>
        <v>1</v>
      </c>
      <c r="V583" s="84">
        <f t="shared" si="1155"/>
        <v>104.19999999999982</v>
      </c>
      <c r="W583" s="84"/>
      <c r="X583" s="84"/>
      <c r="Y583" s="85">
        <f t="shared" si="1156"/>
        <v>1.2466666666666666</v>
      </c>
      <c r="Z583" s="84"/>
      <c r="AA583" s="82"/>
    </row>
    <row r="584" spans="1:27" s="40" customFormat="1" ht="39.950000000000003" hidden="1" customHeight="1" x14ac:dyDescent="0.25">
      <c r="A584" s="93">
        <v>17</v>
      </c>
      <c r="B584" s="49" t="str">
        <f t="shared" ref="B584:J584" si="1158">B583</f>
        <v>H D Kote</v>
      </c>
      <c r="C584" s="49" t="str">
        <f t="shared" si="1158"/>
        <v>HDKOTE/1714</v>
      </c>
      <c r="D584" s="49" t="str">
        <f t="shared" si="1158"/>
        <v>Sub-division Office</v>
      </c>
      <c r="E584" s="49" t="str">
        <f t="shared" si="1158"/>
        <v>HKQ1</v>
      </c>
      <c r="F584" s="49">
        <f t="shared" si="1158"/>
        <v>5</v>
      </c>
      <c r="G584" s="49" t="str">
        <f t="shared" si="1158"/>
        <v>GOVT</v>
      </c>
      <c r="H584" s="49" t="str">
        <f t="shared" si="1158"/>
        <v>IPDS</v>
      </c>
      <c r="I584" s="49">
        <f t="shared" si="1158"/>
        <v>5</v>
      </c>
      <c r="J584" s="49" t="str">
        <f t="shared" si="1158"/>
        <v>LT3(I)</v>
      </c>
      <c r="K584" s="84">
        <f>'HKQ1'!Q47</f>
        <v>7612</v>
      </c>
      <c r="L584" s="84">
        <f>'HKQ1'!P47</f>
        <v>7842</v>
      </c>
      <c r="M584" s="84">
        <f t="shared" si="1138"/>
        <v>1</v>
      </c>
      <c r="N584" s="84">
        <f t="shared" si="1153"/>
        <v>230</v>
      </c>
      <c r="O584" s="84">
        <f>'HKQ1'!F47</f>
        <v>3880.9</v>
      </c>
      <c r="P584" s="84">
        <f>'HKQ1'!E47</f>
        <v>3992</v>
      </c>
      <c r="Q584" s="84">
        <f t="shared" si="1139"/>
        <v>1</v>
      </c>
      <c r="R584" s="84">
        <f t="shared" si="1154"/>
        <v>111.09999999999991</v>
      </c>
      <c r="S584" s="84">
        <f>'HKQ1'!K47</f>
        <v>4225.8999999999996</v>
      </c>
      <c r="T584" s="84">
        <f>'HKQ1'!J47</f>
        <v>4358</v>
      </c>
      <c r="U584" s="84">
        <f t="shared" si="1140"/>
        <v>1</v>
      </c>
      <c r="V584" s="84">
        <f t="shared" si="1155"/>
        <v>132.10000000000036</v>
      </c>
      <c r="W584" s="84"/>
      <c r="X584" s="84"/>
      <c r="Y584" s="85">
        <f t="shared" si="1156"/>
        <v>1.5333333333333334</v>
      </c>
      <c r="Z584" s="84"/>
      <c r="AA584" s="82"/>
    </row>
    <row r="585" spans="1:27" s="40" customFormat="1" ht="39.950000000000003" hidden="1" customHeight="1" x14ac:dyDescent="0.25">
      <c r="A585" s="94">
        <v>18</v>
      </c>
      <c r="B585" s="49" t="str">
        <f t="shared" ref="B585:J585" si="1159">B584</f>
        <v>H D Kote</v>
      </c>
      <c r="C585" s="49" t="str">
        <f t="shared" si="1159"/>
        <v>HDKOTE/1714</v>
      </c>
      <c r="D585" s="49" t="str">
        <f t="shared" si="1159"/>
        <v>Sub-division Office</v>
      </c>
      <c r="E585" s="49" t="str">
        <f t="shared" si="1159"/>
        <v>HKQ1</v>
      </c>
      <c r="F585" s="49">
        <f t="shared" si="1159"/>
        <v>5</v>
      </c>
      <c r="G585" s="49" t="str">
        <f t="shared" si="1159"/>
        <v>GOVT</v>
      </c>
      <c r="H585" s="49" t="str">
        <f t="shared" si="1159"/>
        <v>IPDS</v>
      </c>
      <c r="I585" s="49">
        <f t="shared" si="1159"/>
        <v>5</v>
      </c>
      <c r="J585" s="49" t="str">
        <f t="shared" si="1159"/>
        <v>LT3(I)</v>
      </c>
      <c r="K585" s="84">
        <f>'HKQ1'!Q48</f>
        <v>7842</v>
      </c>
      <c r="L585" s="84">
        <f>'HKQ1'!P48</f>
        <v>8095.8</v>
      </c>
      <c r="M585" s="84">
        <f t="shared" si="1138"/>
        <v>1</v>
      </c>
      <c r="N585" s="84">
        <f t="shared" si="1153"/>
        <v>253.80000000000018</v>
      </c>
      <c r="O585" s="84">
        <f>'HKQ1'!F48</f>
        <v>3992</v>
      </c>
      <c r="P585" s="84">
        <f>'HKQ1'!E48</f>
        <v>4104.3</v>
      </c>
      <c r="Q585" s="84">
        <f t="shared" si="1139"/>
        <v>1</v>
      </c>
      <c r="R585" s="84">
        <f t="shared" si="1154"/>
        <v>112.30000000000018</v>
      </c>
      <c r="S585" s="84">
        <f>'HKQ1'!K48</f>
        <v>4358</v>
      </c>
      <c r="T585" s="84">
        <f>'HKQ1'!J48</f>
        <v>4515.5</v>
      </c>
      <c r="U585" s="84">
        <f t="shared" si="1140"/>
        <v>1</v>
      </c>
      <c r="V585" s="84">
        <f t="shared" si="1155"/>
        <v>157.5</v>
      </c>
      <c r="W585" s="84"/>
      <c r="X585" s="84"/>
      <c r="Y585" s="85">
        <f t="shared" si="1156"/>
        <v>1.6920000000000013</v>
      </c>
      <c r="Z585" s="84"/>
      <c r="AA585" s="82"/>
    </row>
    <row r="586" spans="1:27" s="40" customFormat="1" ht="39.950000000000003" hidden="1" customHeight="1" x14ac:dyDescent="0.25">
      <c r="A586" s="95">
        <v>19</v>
      </c>
      <c r="B586" s="49" t="str">
        <f t="shared" ref="B586:J586" si="1160">B585</f>
        <v>H D Kote</v>
      </c>
      <c r="C586" s="49" t="str">
        <f t="shared" si="1160"/>
        <v>HDKOTE/1714</v>
      </c>
      <c r="D586" s="49" t="str">
        <f t="shared" si="1160"/>
        <v>Sub-division Office</v>
      </c>
      <c r="E586" s="49" t="str">
        <f t="shared" si="1160"/>
        <v>HKQ1</v>
      </c>
      <c r="F586" s="49">
        <f t="shared" si="1160"/>
        <v>5</v>
      </c>
      <c r="G586" s="49" t="str">
        <f t="shared" si="1160"/>
        <v>GOVT</v>
      </c>
      <c r="H586" s="49" t="str">
        <f t="shared" si="1160"/>
        <v>IPDS</v>
      </c>
      <c r="I586" s="49">
        <f t="shared" si="1160"/>
        <v>5</v>
      </c>
      <c r="J586" s="49" t="str">
        <f t="shared" si="1160"/>
        <v>LT3(I)</v>
      </c>
      <c r="K586" s="84">
        <f>'HKQ1'!Q49</f>
        <v>8095.8</v>
      </c>
      <c r="L586" s="84">
        <f>'HKQ1'!P49</f>
        <v>8378</v>
      </c>
      <c r="M586" s="84">
        <f t="shared" si="1138"/>
        <v>1</v>
      </c>
      <c r="N586" s="84">
        <f t="shared" si="1153"/>
        <v>282.19999999999982</v>
      </c>
      <c r="O586" s="84">
        <f>'HKQ1'!F49</f>
        <v>4104.3</v>
      </c>
      <c r="P586" s="84">
        <f>'HKQ1'!E49</f>
        <v>4207.1000000000004</v>
      </c>
      <c r="Q586" s="84">
        <f t="shared" si="1139"/>
        <v>1</v>
      </c>
      <c r="R586" s="84">
        <f t="shared" si="1154"/>
        <v>102.80000000000018</v>
      </c>
      <c r="S586" s="84">
        <f>'HKQ1'!K49</f>
        <v>4515.5</v>
      </c>
      <c r="T586" s="84">
        <f>'HKQ1'!J49</f>
        <v>4711.2</v>
      </c>
      <c r="U586" s="84">
        <f t="shared" si="1140"/>
        <v>1</v>
      </c>
      <c r="V586" s="84">
        <f t="shared" si="1155"/>
        <v>195.69999999999982</v>
      </c>
      <c r="W586" s="84"/>
      <c r="X586" s="84"/>
      <c r="Y586" s="85">
        <f t="shared" si="1156"/>
        <v>1.8813333333333322</v>
      </c>
      <c r="Z586" s="84"/>
      <c r="AA586" s="82"/>
    </row>
    <row r="587" spans="1:27" s="40" customFormat="1" ht="39.950000000000003" hidden="1" customHeight="1" x14ac:dyDescent="0.25">
      <c r="A587" s="49">
        <v>20</v>
      </c>
      <c r="B587" s="49" t="str">
        <f t="shared" ref="B587:J587" si="1161">B586</f>
        <v>H D Kote</v>
      </c>
      <c r="C587" s="49" t="str">
        <f t="shared" si="1161"/>
        <v>HDKOTE/1714</v>
      </c>
      <c r="D587" s="49" t="str">
        <f t="shared" si="1161"/>
        <v>Sub-division Office</v>
      </c>
      <c r="E587" s="49" t="str">
        <f t="shared" si="1161"/>
        <v>HKQ1</v>
      </c>
      <c r="F587" s="49">
        <f t="shared" si="1161"/>
        <v>5</v>
      </c>
      <c r="G587" s="49" t="str">
        <f t="shared" si="1161"/>
        <v>GOVT</v>
      </c>
      <c r="H587" s="49" t="str">
        <f t="shared" si="1161"/>
        <v>IPDS</v>
      </c>
      <c r="I587" s="49">
        <f t="shared" si="1161"/>
        <v>5</v>
      </c>
      <c r="J587" s="49" t="str">
        <f t="shared" si="1161"/>
        <v>LT3(I)</v>
      </c>
      <c r="K587" s="84">
        <f>'HKQ1'!Q50</f>
        <v>8378</v>
      </c>
      <c r="L587" s="84">
        <f>'HKQ1'!P50</f>
        <v>8628.5</v>
      </c>
      <c r="M587" s="84">
        <f t="shared" si="1138"/>
        <v>1</v>
      </c>
      <c r="N587" s="84">
        <f t="shared" ref="N587" si="1162">(L587-K587)*M587</f>
        <v>250.5</v>
      </c>
      <c r="O587" s="84">
        <f>'HKQ1'!F50</f>
        <v>4207.1000000000004</v>
      </c>
      <c r="P587" s="84">
        <f>'HKQ1'!E50</f>
        <v>4309.8</v>
      </c>
      <c r="Q587" s="84">
        <f t="shared" si="1139"/>
        <v>1</v>
      </c>
      <c r="R587" s="84">
        <f t="shared" ref="R587" si="1163">(P587-O587)*Q587</f>
        <v>102.69999999999982</v>
      </c>
      <c r="S587" s="84">
        <f>'HKQ1'!K50</f>
        <v>4711.2</v>
      </c>
      <c r="T587" s="84">
        <f>'HKQ1'!J50</f>
        <v>4872.3999999999996</v>
      </c>
      <c r="U587" s="84">
        <f t="shared" si="1140"/>
        <v>1</v>
      </c>
      <c r="V587" s="84">
        <f t="shared" ref="V587" si="1164">(T587-S587)*U587</f>
        <v>161.19999999999982</v>
      </c>
      <c r="W587" s="84"/>
      <c r="X587" s="84"/>
      <c r="Y587" s="85">
        <f t="shared" ref="Y587" si="1165">N587/30/I587</f>
        <v>1.67</v>
      </c>
      <c r="Z587" s="84"/>
      <c r="AA587" s="82"/>
    </row>
    <row r="588" spans="1:27" s="40" customFormat="1" ht="39.950000000000003" hidden="1" customHeight="1" x14ac:dyDescent="0.25">
      <c r="A588" s="49">
        <v>21</v>
      </c>
      <c r="B588" s="49" t="str">
        <f t="shared" ref="B588:J588" si="1166">B587</f>
        <v>H D Kote</v>
      </c>
      <c r="C588" s="49" t="str">
        <f t="shared" si="1166"/>
        <v>HDKOTE/1714</v>
      </c>
      <c r="D588" s="49" t="str">
        <f t="shared" si="1166"/>
        <v>Sub-division Office</v>
      </c>
      <c r="E588" s="49" t="str">
        <f t="shared" si="1166"/>
        <v>HKQ1</v>
      </c>
      <c r="F588" s="49">
        <f t="shared" si="1166"/>
        <v>5</v>
      </c>
      <c r="G588" s="49" t="str">
        <f t="shared" si="1166"/>
        <v>GOVT</v>
      </c>
      <c r="H588" s="49" t="str">
        <f t="shared" si="1166"/>
        <v>IPDS</v>
      </c>
      <c r="I588" s="49">
        <f t="shared" si="1166"/>
        <v>5</v>
      </c>
      <c r="J588" s="49" t="str">
        <f t="shared" si="1166"/>
        <v>LT3(I)</v>
      </c>
      <c r="K588" s="84">
        <f>'HKQ1'!Q51</f>
        <v>8628.5</v>
      </c>
      <c r="L588" s="84">
        <f>'HKQ1'!P51</f>
        <v>8879.2000000000007</v>
      </c>
      <c r="M588" s="84">
        <f t="shared" si="1138"/>
        <v>1</v>
      </c>
      <c r="N588" s="84">
        <f t="shared" si="1153"/>
        <v>250.70000000000073</v>
      </c>
      <c r="O588" s="84">
        <f>'HKQ1'!F51</f>
        <v>4309.8</v>
      </c>
      <c r="P588" s="84">
        <f>'HKQ1'!E51</f>
        <v>4408.8</v>
      </c>
      <c r="Q588" s="84">
        <f t="shared" si="1139"/>
        <v>1</v>
      </c>
      <c r="R588" s="84">
        <f t="shared" si="1154"/>
        <v>99</v>
      </c>
      <c r="S588" s="84">
        <f>'HKQ1'!K51</f>
        <v>4872.3999999999996</v>
      </c>
      <c r="T588" s="84">
        <f>'HKQ1'!J51</f>
        <v>5033.3999999999996</v>
      </c>
      <c r="U588" s="84">
        <f t="shared" si="1140"/>
        <v>1</v>
      </c>
      <c r="V588" s="84">
        <f t="shared" si="1155"/>
        <v>161</v>
      </c>
      <c r="W588" s="84"/>
      <c r="X588" s="84"/>
      <c r="Y588" s="85">
        <f t="shared" si="1156"/>
        <v>1.671333333333338</v>
      </c>
      <c r="Z588" s="84"/>
      <c r="AA588" s="82"/>
    </row>
    <row r="589" spans="1:27" s="40" customFormat="1" ht="39.950000000000003" hidden="1" customHeight="1" x14ac:dyDescent="0.25">
      <c r="A589" s="49">
        <v>22</v>
      </c>
      <c r="B589" s="49" t="str">
        <f t="shared" ref="B589:J590" si="1167">B588</f>
        <v>H D Kote</v>
      </c>
      <c r="C589" s="49" t="str">
        <f t="shared" si="1167"/>
        <v>HDKOTE/1714</v>
      </c>
      <c r="D589" s="49" t="str">
        <f t="shared" si="1167"/>
        <v>Sub-division Office</v>
      </c>
      <c r="E589" s="49" t="str">
        <f t="shared" si="1167"/>
        <v>HKQ1</v>
      </c>
      <c r="F589" s="49">
        <f t="shared" si="1167"/>
        <v>5</v>
      </c>
      <c r="G589" s="49" t="str">
        <f t="shared" si="1167"/>
        <v>GOVT</v>
      </c>
      <c r="H589" s="49" t="str">
        <f t="shared" si="1167"/>
        <v>IPDS</v>
      </c>
      <c r="I589" s="49">
        <f t="shared" si="1167"/>
        <v>5</v>
      </c>
      <c r="J589" s="49" t="str">
        <f t="shared" si="1167"/>
        <v>LT3(I)</v>
      </c>
      <c r="K589" s="84">
        <f>'HKQ1'!Q52</f>
        <v>8879.2000000000007</v>
      </c>
      <c r="L589" s="84">
        <f>'HKQ1'!P52</f>
        <v>9104.2000000000007</v>
      </c>
      <c r="M589" s="84">
        <f t="shared" si="1138"/>
        <v>1</v>
      </c>
      <c r="N589" s="84">
        <f t="shared" si="1153"/>
        <v>225</v>
      </c>
      <c r="O589" s="84">
        <f>'HKQ1'!F52</f>
        <v>4408.8</v>
      </c>
      <c r="P589" s="84">
        <f>'HKQ1'!E52</f>
        <v>4537.7</v>
      </c>
      <c r="Q589" s="84">
        <f t="shared" si="1139"/>
        <v>1</v>
      </c>
      <c r="R589" s="84">
        <f t="shared" si="1154"/>
        <v>128.89999999999964</v>
      </c>
      <c r="S589" s="84">
        <f>'HKQ1'!K52</f>
        <v>5033.3999999999996</v>
      </c>
      <c r="T589" s="84">
        <f>'HKQ1'!J52</f>
        <v>5128</v>
      </c>
      <c r="U589" s="84">
        <f t="shared" si="1140"/>
        <v>1</v>
      </c>
      <c r="V589" s="84">
        <f t="shared" si="1155"/>
        <v>94.600000000000364</v>
      </c>
      <c r="W589" s="84"/>
      <c r="X589" s="84"/>
      <c r="Y589" s="85">
        <f t="shared" si="1156"/>
        <v>1.5</v>
      </c>
      <c r="Z589" s="84"/>
      <c r="AA589" s="82"/>
    </row>
    <row r="590" spans="1:27" s="40" customFormat="1" ht="39.950000000000003" hidden="1" customHeight="1" x14ac:dyDescent="0.25">
      <c r="A590" s="49">
        <v>23</v>
      </c>
      <c r="B590" s="49" t="str">
        <f t="shared" si="1167"/>
        <v>H D Kote</v>
      </c>
      <c r="C590" s="49" t="str">
        <f t="shared" si="1167"/>
        <v>HDKOTE/1714</v>
      </c>
      <c r="D590" s="49" t="str">
        <f t="shared" si="1167"/>
        <v>Sub-division Office</v>
      </c>
      <c r="E590" s="49" t="str">
        <f t="shared" si="1167"/>
        <v>HKQ1</v>
      </c>
      <c r="F590" s="49">
        <f t="shared" si="1167"/>
        <v>5</v>
      </c>
      <c r="G590" s="49" t="str">
        <f t="shared" si="1167"/>
        <v>GOVT</v>
      </c>
      <c r="H590" s="49" t="str">
        <f t="shared" si="1167"/>
        <v>IPDS</v>
      </c>
      <c r="I590" s="49">
        <f t="shared" si="1167"/>
        <v>5</v>
      </c>
      <c r="J590" s="49" t="str">
        <f t="shared" si="1167"/>
        <v>LT3(I)</v>
      </c>
      <c r="K590" s="84">
        <f>'HKQ1'!Q54</f>
        <v>9104.2000000000007</v>
      </c>
      <c r="L590" s="84">
        <f>'HKQ1'!P54</f>
        <v>9322</v>
      </c>
      <c r="M590" s="84">
        <f t="shared" si="1138"/>
        <v>1</v>
      </c>
      <c r="N590" s="84">
        <f t="shared" si="1153"/>
        <v>217.79999999999927</v>
      </c>
      <c r="O590" s="84">
        <f>'HKQ1'!F54</f>
        <v>4537.7</v>
      </c>
      <c r="P590" s="84">
        <f>'HKQ1'!E54</f>
        <v>4719</v>
      </c>
      <c r="Q590" s="84">
        <f t="shared" si="1139"/>
        <v>1</v>
      </c>
      <c r="R590" s="84">
        <f t="shared" si="1154"/>
        <v>181.30000000000018</v>
      </c>
      <c r="S590" s="84">
        <f>'HKQ1'!K54</f>
        <v>5128</v>
      </c>
      <c r="T590" s="84">
        <f>'HKQ1'!J54</f>
        <v>5207.8</v>
      </c>
      <c r="U590" s="84">
        <f t="shared" si="1140"/>
        <v>1</v>
      </c>
      <c r="V590" s="84">
        <f t="shared" si="1155"/>
        <v>79.800000000000182</v>
      </c>
      <c r="W590" s="84"/>
      <c r="X590" s="84"/>
      <c r="Y590" s="85">
        <f t="shared" si="1156"/>
        <v>1.4519999999999951</v>
      </c>
      <c r="Z590" s="84"/>
      <c r="AA590" s="82"/>
    </row>
    <row r="591" spans="1:27" s="40" customFormat="1" ht="39.950000000000003" hidden="1" customHeight="1" x14ac:dyDescent="0.25">
      <c r="A591" s="49">
        <v>24</v>
      </c>
      <c r="B591" s="49" t="str">
        <f t="shared" ref="B591:J591" si="1168">B590</f>
        <v>H D Kote</v>
      </c>
      <c r="C591" s="49" t="str">
        <f t="shared" si="1168"/>
        <v>HDKOTE/1714</v>
      </c>
      <c r="D591" s="49" t="str">
        <f t="shared" si="1168"/>
        <v>Sub-division Office</v>
      </c>
      <c r="E591" s="49" t="str">
        <f t="shared" si="1168"/>
        <v>HKQ1</v>
      </c>
      <c r="F591" s="49">
        <f t="shared" si="1168"/>
        <v>5</v>
      </c>
      <c r="G591" s="49" t="str">
        <f t="shared" si="1168"/>
        <v>GOVT</v>
      </c>
      <c r="H591" s="49" t="str">
        <f t="shared" si="1168"/>
        <v>IPDS</v>
      </c>
      <c r="I591" s="49">
        <f t="shared" si="1168"/>
        <v>5</v>
      </c>
      <c r="J591" s="49" t="str">
        <f t="shared" si="1168"/>
        <v>LT3(I)</v>
      </c>
      <c r="K591" s="84">
        <f>'HKQ1'!Q55</f>
        <v>9322</v>
      </c>
      <c r="L591" s="84">
        <f>'HKQ1'!P55</f>
        <v>9449</v>
      </c>
      <c r="M591" s="84">
        <f t="shared" si="1138"/>
        <v>1</v>
      </c>
      <c r="N591" s="84">
        <f t="shared" ref="N591:N595" si="1169">(L591-K591)*M591</f>
        <v>127</v>
      </c>
      <c r="O591" s="84">
        <f>'HKQ1'!F55</f>
        <v>4719</v>
      </c>
      <c r="P591" s="84">
        <f>'HKQ1'!E55</f>
        <v>4901.5</v>
      </c>
      <c r="Q591" s="84">
        <f t="shared" si="1139"/>
        <v>1</v>
      </c>
      <c r="R591" s="84">
        <f t="shared" ref="R591:R595" si="1170">(P591-O591)*Q591</f>
        <v>182.5</v>
      </c>
      <c r="S591" s="84">
        <f>'HKQ1'!K55</f>
        <v>5207.8</v>
      </c>
      <c r="T591" s="84">
        <f>'HKQ1'!J55</f>
        <v>5245.8</v>
      </c>
      <c r="U591" s="84">
        <f t="shared" si="1140"/>
        <v>1</v>
      </c>
      <c r="V591" s="84">
        <f t="shared" ref="V591:V595" si="1171">(T591-S591)*U591</f>
        <v>38</v>
      </c>
      <c r="W591" s="84"/>
      <c r="X591" s="84"/>
      <c r="Y591" s="85">
        <f t="shared" ref="Y591:Y595" si="1172">N591/30/I591</f>
        <v>0.84666666666666668</v>
      </c>
      <c r="Z591" s="84"/>
      <c r="AA591" s="82"/>
    </row>
    <row r="592" spans="1:27" s="40" customFormat="1" ht="39.950000000000003" hidden="1" customHeight="1" x14ac:dyDescent="0.25">
      <c r="A592" s="49">
        <v>25</v>
      </c>
      <c r="B592" s="49" t="str">
        <f t="shared" ref="B592:J592" si="1173">B591</f>
        <v>H D Kote</v>
      </c>
      <c r="C592" s="49" t="str">
        <f t="shared" si="1173"/>
        <v>HDKOTE/1714</v>
      </c>
      <c r="D592" s="49" t="str">
        <f t="shared" si="1173"/>
        <v>Sub-division Office</v>
      </c>
      <c r="E592" s="49" t="str">
        <f t="shared" si="1173"/>
        <v>HKQ1</v>
      </c>
      <c r="F592" s="49">
        <f t="shared" si="1173"/>
        <v>5</v>
      </c>
      <c r="G592" s="49" t="str">
        <f t="shared" si="1173"/>
        <v>GOVT</v>
      </c>
      <c r="H592" s="49" t="str">
        <f t="shared" si="1173"/>
        <v>IPDS</v>
      </c>
      <c r="I592" s="49">
        <f t="shared" si="1173"/>
        <v>5</v>
      </c>
      <c r="J592" s="49" t="str">
        <f t="shared" si="1173"/>
        <v>LT3(I)</v>
      </c>
      <c r="K592" s="84">
        <f>'HKQ1'!Q56</f>
        <v>9449</v>
      </c>
      <c r="L592" s="84">
        <f>'HKQ1'!P56</f>
        <v>9570</v>
      </c>
      <c r="M592" s="84">
        <f t="shared" si="1138"/>
        <v>1</v>
      </c>
      <c r="N592" s="84">
        <f t="shared" si="1169"/>
        <v>121</v>
      </c>
      <c r="O592" s="84">
        <f>'HKQ1'!F56</f>
        <v>4901.5</v>
      </c>
      <c r="P592" s="84">
        <f>'HKQ1'!E56</f>
        <v>5093.8</v>
      </c>
      <c r="Q592" s="84">
        <f t="shared" si="1139"/>
        <v>1</v>
      </c>
      <c r="R592" s="84">
        <f t="shared" si="1170"/>
        <v>192.30000000000018</v>
      </c>
      <c r="S592" s="84">
        <f>'HKQ1'!K56</f>
        <v>5245.8</v>
      </c>
      <c r="T592" s="84">
        <f>'HKQ1'!J56</f>
        <v>5267.1</v>
      </c>
      <c r="U592" s="84">
        <f t="shared" si="1140"/>
        <v>1</v>
      </c>
      <c r="V592" s="84">
        <f t="shared" si="1171"/>
        <v>21.300000000000182</v>
      </c>
      <c r="W592" s="84"/>
      <c r="X592" s="84"/>
      <c r="Y592" s="85">
        <f t="shared" si="1172"/>
        <v>0.80666666666666664</v>
      </c>
      <c r="Z592" s="84"/>
      <c r="AA592" s="82"/>
    </row>
    <row r="593" spans="1:27" s="40" customFormat="1" ht="39.950000000000003" hidden="1" customHeight="1" x14ac:dyDescent="0.25">
      <c r="A593" s="49">
        <v>26</v>
      </c>
      <c r="B593" s="49" t="str">
        <f t="shared" ref="B593:J593" si="1174">B592</f>
        <v>H D Kote</v>
      </c>
      <c r="C593" s="49" t="str">
        <f t="shared" si="1174"/>
        <v>HDKOTE/1714</v>
      </c>
      <c r="D593" s="49" t="str">
        <f t="shared" si="1174"/>
        <v>Sub-division Office</v>
      </c>
      <c r="E593" s="49" t="str">
        <f t="shared" si="1174"/>
        <v>HKQ1</v>
      </c>
      <c r="F593" s="49">
        <f t="shared" si="1174"/>
        <v>5</v>
      </c>
      <c r="G593" s="49" t="str">
        <f t="shared" si="1174"/>
        <v>GOVT</v>
      </c>
      <c r="H593" s="49" t="str">
        <f t="shared" si="1174"/>
        <v>IPDS</v>
      </c>
      <c r="I593" s="49">
        <f t="shared" si="1174"/>
        <v>5</v>
      </c>
      <c r="J593" s="49" t="str">
        <f t="shared" si="1174"/>
        <v>LT3(I)</v>
      </c>
      <c r="K593" s="84">
        <f>'HKQ1'!Q57</f>
        <v>9570</v>
      </c>
      <c r="L593" s="84">
        <f>'HKQ1'!P57</f>
        <v>9726</v>
      </c>
      <c r="M593" s="84">
        <f t="shared" si="1138"/>
        <v>1</v>
      </c>
      <c r="N593" s="84">
        <f t="shared" si="1169"/>
        <v>156</v>
      </c>
      <c r="O593" s="84">
        <f>'HKQ1'!F57</f>
        <v>5093.8</v>
      </c>
      <c r="P593" s="84">
        <f>'HKQ1'!E57</f>
        <v>5297.8</v>
      </c>
      <c r="Q593" s="84">
        <f t="shared" si="1139"/>
        <v>1</v>
      </c>
      <c r="R593" s="84">
        <f t="shared" si="1170"/>
        <v>204</v>
      </c>
      <c r="S593" s="84">
        <f>'HKQ1'!K57</f>
        <v>5267.1</v>
      </c>
      <c r="T593" s="84">
        <f>'HKQ1'!J57</f>
        <v>5289</v>
      </c>
      <c r="U593" s="84">
        <f t="shared" si="1140"/>
        <v>1</v>
      </c>
      <c r="V593" s="84">
        <f t="shared" si="1171"/>
        <v>21.899999999999636</v>
      </c>
      <c r="W593" s="84"/>
      <c r="X593" s="84"/>
      <c r="Y593" s="85">
        <f t="shared" si="1172"/>
        <v>1.04</v>
      </c>
      <c r="Z593" s="84"/>
      <c r="AA593" s="82"/>
    </row>
    <row r="594" spans="1:27" s="40" customFormat="1" ht="39.950000000000003" hidden="1" customHeight="1" x14ac:dyDescent="0.25">
      <c r="A594" s="49">
        <v>27</v>
      </c>
      <c r="B594" s="49" t="str">
        <f t="shared" ref="B594:J594" si="1175">B593</f>
        <v>H D Kote</v>
      </c>
      <c r="C594" s="49" t="str">
        <f t="shared" si="1175"/>
        <v>HDKOTE/1714</v>
      </c>
      <c r="D594" s="49" t="str">
        <f t="shared" si="1175"/>
        <v>Sub-division Office</v>
      </c>
      <c r="E594" s="49" t="str">
        <f t="shared" si="1175"/>
        <v>HKQ1</v>
      </c>
      <c r="F594" s="49">
        <f t="shared" si="1175"/>
        <v>5</v>
      </c>
      <c r="G594" s="49" t="str">
        <f t="shared" si="1175"/>
        <v>GOVT</v>
      </c>
      <c r="H594" s="49" t="str">
        <f t="shared" si="1175"/>
        <v>IPDS</v>
      </c>
      <c r="I594" s="49">
        <f t="shared" si="1175"/>
        <v>5</v>
      </c>
      <c r="J594" s="49" t="str">
        <f t="shared" si="1175"/>
        <v>LT3(I)</v>
      </c>
      <c r="K594" s="84">
        <f>'HKQ1'!Q58</f>
        <v>9726</v>
      </c>
      <c r="L594" s="84">
        <f>'HKQ1'!P58</f>
        <v>9892.5</v>
      </c>
      <c r="M594" s="84">
        <f t="shared" si="1138"/>
        <v>1</v>
      </c>
      <c r="N594" s="84">
        <f t="shared" si="1169"/>
        <v>166.5</v>
      </c>
      <c r="O594" s="84">
        <f>'HKQ1'!F58</f>
        <v>5297.8</v>
      </c>
      <c r="P594" s="84">
        <f>'HKQ1'!E58</f>
        <v>5487.3</v>
      </c>
      <c r="Q594" s="84">
        <f t="shared" si="1139"/>
        <v>1</v>
      </c>
      <c r="R594" s="84">
        <f t="shared" si="1170"/>
        <v>189.5</v>
      </c>
      <c r="S594" s="84">
        <f>'HKQ1'!K58</f>
        <v>5289</v>
      </c>
      <c r="T594" s="84">
        <f>'HKQ1'!J58</f>
        <v>5344.3</v>
      </c>
      <c r="U594" s="84">
        <f t="shared" si="1140"/>
        <v>1</v>
      </c>
      <c r="V594" s="84">
        <f t="shared" si="1171"/>
        <v>55.300000000000182</v>
      </c>
      <c r="W594" s="84"/>
      <c r="X594" s="84"/>
      <c r="Y594" s="85">
        <f t="shared" si="1172"/>
        <v>1.1099999999999999</v>
      </c>
      <c r="Z594" s="84"/>
      <c r="AA594" s="82"/>
    </row>
    <row r="595" spans="1:27" s="40" customFormat="1" ht="39.950000000000003" hidden="1" customHeight="1" x14ac:dyDescent="0.25">
      <c r="A595" s="49">
        <v>28</v>
      </c>
      <c r="B595" s="49" t="str">
        <f t="shared" ref="B595:J597" si="1176">B594</f>
        <v>H D Kote</v>
      </c>
      <c r="C595" s="49" t="str">
        <f t="shared" si="1176"/>
        <v>HDKOTE/1714</v>
      </c>
      <c r="D595" s="49" t="str">
        <f t="shared" si="1176"/>
        <v>Sub-division Office</v>
      </c>
      <c r="E595" s="49" t="str">
        <f t="shared" si="1176"/>
        <v>HKQ1</v>
      </c>
      <c r="F595" s="49">
        <f t="shared" si="1176"/>
        <v>5</v>
      </c>
      <c r="G595" s="49" t="str">
        <f t="shared" si="1176"/>
        <v>GOVT</v>
      </c>
      <c r="H595" s="49" t="str">
        <f t="shared" si="1176"/>
        <v>IPDS</v>
      </c>
      <c r="I595" s="49">
        <f t="shared" si="1176"/>
        <v>5</v>
      </c>
      <c r="J595" s="49" t="str">
        <f t="shared" si="1176"/>
        <v>LT3(I)</v>
      </c>
      <c r="K595" s="84">
        <f>'HKQ1'!Q59</f>
        <v>9892.5</v>
      </c>
      <c r="L595" s="84">
        <f>'HKQ1'!P59</f>
        <v>10110</v>
      </c>
      <c r="M595" s="84">
        <f t="shared" si="1138"/>
        <v>1</v>
      </c>
      <c r="N595" s="84">
        <f t="shared" si="1169"/>
        <v>217.5</v>
      </c>
      <c r="O595" s="84">
        <f>'HKQ1'!F59</f>
        <v>5487.3</v>
      </c>
      <c r="P595" s="84">
        <f>'HKQ1'!E59</f>
        <v>5667.5</v>
      </c>
      <c r="Q595" s="84">
        <f t="shared" si="1139"/>
        <v>1</v>
      </c>
      <c r="R595" s="84">
        <f t="shared" si="1170"/>
        <v>180.19999999999982</v>
      </c>
      <c r="S595" s="84">
        <f>'HKQ1'!K59</f>
        <v>5344.3</v>
      </c>
      <c r="T595" s="84">
        <f>'HKQ1'!J59</f>
        <v>5422.7</v>
      </c>
      <c r="U595" s="84">
        <f t="shared" si="1140"/>
        <v>1</v>
      </c>
      <c r="V595" s="84">
        <f t="shared" si="1171"/>
        <v>78.399999999999636</v>
      </c>
      <c r="W595" s="84">
        <f>'HKQ1'!U59</f>
        <v>3.5</v>
      </c>
      <c r="X595" s="84">
        <f>'HKQ1'!V59</f>
        <v>0.9</v>
      </c>
      <c r="Y595" s="85">
        <f t="shared" si="1172"/>
        <v>1.45</v>
      </c>
      <c r="Z595" s="84"/>
      <c r="AA595" s="82"/>
    </row>
    <row r="596" spans="1:27" s="40" customFormat="1" ht="39.950000000000003" hidden="1" customHeight="1" x14ac:dyDescent="0.25">
      <c r="A596" s="49">
        <v>29</v>
      </c>
      <c r="B596" s="49" t="str">
        <f t="shared" ref="B596:J596" si="1177">B595</f>
        <v>H D Kote</v>
      </c>
      <c r="C596" s="49" t="str">
        <f t="shared" si="1177"/>
        <v>HDKOTE/1714</v>
      </c>
      <c r="D596" s="49" t="str">
        <f t="shared" si="1177"/>
        <v>Sub-division Office</v>
      </c>
      <c r="E596" s="49" t="str">
        <f t="shared" si="1177"/>
        <v>HKQ1</v>
      </c>
      <c r="F596" s="49">
        <f t="shared" si="1177"/>
        <v>5</v>
      </c>
      <c r="G596" s="49" t="str">
        <f t="shared" si="1177"/>
        <v>GOVT</v>
      </c>
      <c r="H596" s="49" t="str">
        <f t="shared" si="1177"/>
        <v>IPDS</v>
      </c>
      <c r="I596" s="49">
        <f t="shared" si="1177"/>
        <v>5</v>
      </c>
      <c r="J596" s="49" t="str">
        <f t="shared" si="1177"/>
        <v>LT3(I)</v>
      </c>
      <c r="K596" s="84">
        <f>'HKQ1'!Q60</f>
        <v>10110</v>
      </c>
      <c r="L596" s="84">
        <f>'HKQ1'!P60</f>
        <v>10321</v>
      </c>
      <c r="M596" s="84">
        <f t="shared" si="1138"/>
        <v>1</v>
      </c>
      <c r="N596" s="84">
        <f t="shared" ref="N596:N600" si="1178">(L596-K596)*M596</f>
        <v>211</v>
      </c>
      <c r="O596" s="84">
        <f>'HKQ1'!F60</f>
        <v>5667.5</v>
      </c>
      <c r="P596" s="84">
        <f>'HKQ1'!E60</f>
        <v>5847.5</v>
      </c>
      <c r="Q596" s="84">
        <f t="shared" si="1139"/>
        <v>1</v>
      </c>
      <c r="R596" s="84">
        <f t="shared" ref="R596:R600" si="1179">(P596-O596)*Q596</f>
        <v>180</v>
      </c>
      <c r="S596" s="84">
        <f>'HKQ1'!K60</f>
        <v>5422.7</v>
      </c>
      <c r="T596" s="84">
        <f>'HKQ1'!J60</f>
        <v>5494.7</v>
      </c>
      <c r="U596" s="84">
        <f t="shared" si="1140"/>
        <v>1</v>
      </c>
      <c r="V596" s="84">
        <f t="shared" ref="V596:V600" si="1180">(T596-S596)*U596</f>
        <v>72</v>
      </c>
      <c r="W596" s="84">
        <f>'HKQ1'!U60</f>
        <v>3.6</v>
      </c>
      <c r="X596" s="84">
        <f>'HKQ1'!V60</f>
        <v>0.9</v>
      </c>
      <c r="Y596" s="85">
        <f t="shared" ref="Y596:Y600" si="1181">N596/30/I596</f>
        <v>1.4066666666666667</v>
      </c>
      <c r="Z596" s="84"/>
      <c r="AA596" s="82"/>
    </row>
    <row r="597" spans="1:27" s="40" customFormat="1" ht="39.950000000000003" customHeight="1" x14ac:dyDescent="0.25">
      <c r="A597" s="49">
        <v>30</v>
      </c>
      <c r="B597" s="49" t="str">
        <f t="shared" si="1176"/>
        <v>H D Kote</v>
      </c>
      <c r="C597" s="49" t="str">
        <f t="shared" si="1176"/>
        <v>HDKOTE/1714</v>
      </c>
      <c r="D597" s="49" t="str">
        <f t="shared" si="1176"/>
        <v>Sub-division Office</v>
      </c>
      <c r="E597" s="49" t="str">
        <f t="shared" si="1176"/>
        <v>HKQ1</v>
      </c>
      <c r="F597" s="49">
        <f t="shared" si="1176"/>
        <v>5</v>
      </c>
      <c r="G597" s="49" t="str">
        <f t="shared" si="1176"/>
        <v>GOVT</v>
      </c>
      <c r="H597" s="49" t="str">
        <f t="shared" si="1176"/>
        <v>IPDS</v>
      </c>
      <c r="I597" s="49">
        <f t="shared" si="1176"/>
        <v>5</v>
      </c>
      <c r="J597" s="49" t="str">
        <f t="shared" si="1176"/>
        <v>LT3(I)</v>
      </c>
      <c r="K597" s="84">
        <f>'HKQ1'!Q61</f>
        <v>10321</v>
      </c>
      <c r="L597" s="84">
        <f>'HKQ1'!P61</f>
        <v>10528</v>
      </c>
      <c r="M597" s="84">
        <f t="shared" si="1138"/>
        <v>1</v>
      </c>
      <c r="N597" s="84">
        <f t="shared" si="1178"/>
        <v>207</v>
      </c>
      <c r="O597" s="84">
        <f>'HKQ1'!F61</f>
        <v>5847.5</v>
      </c>
      <c r="P597" s="84">
        <f>'HKQ1'!E61</f>
        <v>6004.4</v>
      </c>
      <c r="Q597" s="84">
        <f t="shared" si="1139"/>
        <v>1</v>
      </c>
      <c r="R597" s="84">
        <f t="shared" si="1179"/>
        <v>156.89999999999964</v>
      </c>
      <c r="S597" s="84">
        <f>'HKQ1'!K61</f>
        <v>5494.7</v>
      </c>
      <c r="T597" s="84">
        <f>'HKQ1'!J61</f>
        <v>5591.4</v>
      </c>
      <c r="U597" s="84">
        <f t="shared" si="1140"/>
        <v>1</v>
      </c>
      <c r="V597" s="84">
        <f t="shared" si="1180"/>
        <v>96.699999999999818</v>
      </c>
      <c r="W597" s="84">
        <f>'HKQ1'!U61</f>
        <v>3.4</v>
      </c>
      <c r="X597" s="84">
        <f>'HKQ1'!V61</f>
        <v>0.9</v>
      </c>
      <c r="Y597" s="85">
        <f t="shared" si="1181"/>
        <v>1.3800000000000001</v>
      </c>
      <c r="Z597" s="84"/>
      <c r="AA597" s="82"/>
    </row>
    <row r="598" spans="1:27" s="40" customFormat="1" ht="39.950000000000003" hidden="1" customHeight="1" x14ac:dyDescent="0.25">
      <c r="A598" s="49">
        <v>31</v>
      </c>
      <c r="B598" s="49" t="str">
        <f t="shared" ref="B598:J598" si="1182">B597</f>
        <v>H D Kote</v>
      </c>
      <c r="C598" s="49" t="str">
        <f t="shared" si="1182"/>
        <v>HDKOTE/1714</v>
      </c>
      <c r="D598" s="49" t="str">
        <f t="shared" si="1182"/>
        <v>Sub-division Office</v>
      </c>
      <c r="E598" s="49" t="str">
        <f t="shared" si="1182"/>
        <v>HKQ1</v>
      </c>
      <c r="F598" s="49">
        <f t="shared" si="1182"/>
        <v>5</v>
      </c>
      <c r="G598" s="49" t="str">
        <f t="shared" si="1182"/>
        <v>GOVT</v>
      </c>
      <c r="H598" s="49" t="str">
        <f t="shared" si="1182"/>
        <v>IPDS</v>
      </c>
      <c r="I598" s="49">
        <f t="shared" si="1182"/>
        <v>5</v>
      </c>
      <c r="J598" s="49" t="str">
        <f t="shared" si="1182"/>
        <v>LT3(I)</v>
      </c>
      <c r="K598" s="84">
        <f>'HKQ1'!Q62</f>
        <v>10528</v>
      </c>
      <c r="L598" s="84">
        <f>'HKQ1'!P62</f>
        <v>10773</v>
      </c>
      <c r="M598" s="84">
        <f t="shared" si="1138"/>
        <v>1</v>
      </c>
      <c r="N598" s="84">
        <f t="shared" si="1178"/>
        <v>245</v>
      </c>
      <c r="O598" s="84">
        <f>'HKQ1'!F62</f>
        <v>6004.4</v>
      </c>
      <c r="P598" s="84">
        <f>'HKQ1'!E62</f>
        <v>6225.1</v>
      </c>
      <c r="Q598" s="84">
        <f t="shared" si="1139"/>
        <v>1</v>
      </c>
      <c r="R598" s="84">
        <f t="shared" si="1179"/>
        <v>220.70000000000073</v>
      </c>
      <c r="S598" s="84">
        <f>'HKQ1'!K62</f>
        <v>5591.4</v>
      </c>
      <c r="T598" s="84">
        <f>'HKQ1'!J62</f>
        <v>5734.4</v>
      </c>
      <c r="U598" s="84">
        <f t="shared" si="1140"/>
        <v>1</v>
      </c>
      <c r="V598" s="84">
        <f t="shared" si="1180"/>
        <v>143</v>
      </c>
      <c r="W598" s="84"/>
      <c r="X598" s="84"/>
      <c r="Y598" s="85">
        <f t="shared" si="1181"/>
        <v>1.6333333333333333</v>
      </c>
      <c r="Z598" s="84"/>
      <c r="AA598" s="82"/>
    </row>
    <row r="599" spans="1:27" s="40" customFormat="1" ht="39.950000000000003" hidden="1" customHeight="1" x14ac:dyDescent="0.25">
      <c r="A599" s="49">
        <v>32</v>
      </c>
      <c r="B599" s="49" t="str">
        <f t="shared" ref="B599:J599" si="1183">B598</f>
        <v>H D Kote</v>
      </c>
      <c r="C599" s="49" t="str">
        <f t="shared" si="1183"/>
        <v>HDKOTE/1714</v>
      </c>
      <c r="D599" s="49" t="str">
        <f t="shared" si="1183"/>
        <v>Sub-division Office</v>
      </c>
      <c r="E599" s="49" t="str">
        <f t="shared" si="1183"/>
        <v>HKQ1</v>
      </c>
      <c r="F599" s="49">
        <f t="shared" si="1183"/>
        <v>5</v>
      </c>
      <c r="G599" s="49" t="str">
        <f t="shared" si="1183"/>
        <v>GOVT</v>
      </c>
      <c r="H599" s="49" t="str">
        <f t="shared" si="1183"/>
        <v>IPDS</v>
      </c>
      <c r="I599" s="49">
        <f t="shared" si="1183"/>
        <v>5</v>
      </c>
      <c r="J599" s="49" t="str">
        <f t="shared" si="1183"/>
        <v>LT3(I)</v>
      </c>
      <c r="K599" s="84">
        <f>'HKQ1'!Q63</f>
        <v>10773</v>
      </c>
      <c r="L599" s="84">
        <f>'HKQ1'!P63</f>
        <v>11053</v>
      </c>
      <c r="M599" s="84">
        <f t="shared" si="1138"/>
        <v>1</v>
      </c>
      <c r="N599" s="84">
        <f t="shared" si="1178"/>
        <v>280</v>
      </c>
      <c r="O599" s="84">
        <f>'HKQ1'!F63</f>
        <v>6225.1</v>
      </c>
      <c r="P599" s="84">
        <f>'HKQ1'!E63</f>
        <v>6403.4</v>
      </c>
      <c r="Q599" s="84">
        <f t="shared" si="1139"/>
        <v>1</v>
      </c>
      <c r="R599" s="84">
        <f t="shared" si="1179"/>
        <v>178.29999999999927</v>
      </c>
      <c r="S599" s="84">
        <f>'HKQ1'!K63</f>
        <v>5734.4</v>
      </c>
      <c r="T599" s="84">
        <f>'HKQ1'!J63</f>
        <v>5869.1</v>
      </c>
      <c r="U599" s="84">
        <f t="shared" si="1140"/>
        <v>1</v>
      </c>
      <c r="V599" s="84">
        <f t="shared" si="1180"/>
        <v>134.70000000000073</v>
      </c>
      <c r="W599" s="84"/>
      <c r="X599" s="84"/>
      <c r="Y599" s="85">
        <f t="shared" si="1181"/>
        <v>1.8666666666666667</v>
      </c>
      <c r="Z599" s="84"/>
      <c r="AA599" s="82"/>
    </row>
    <row r="600" spans="1:27" s="40" customFormat="1" ht="39.950000000000003" hidden="1" customHeight="1" x14ac:dyDescent="0.25">
      <c r="A600" s="49">
        <v>33</v>
      </c>
      <c r="B600" s="49" t="str">
        <f t="shared" ref="B600:J600" si="1184">B599</f>
        <v>H D Kote</v>
      </c>
      <c r="C600" s="49" t="str">
        <f t="shared" si="1184"/>
        <v>HDKOTE/1714</v>
      </c>
      <c r="D600" s="49" t="str">
        <f t="shared" si="1184"/>
        <v>Sub-division Office</v>
      </c>
      <c r="E600" s="49" t="str">
        <f t="shared" si="1184"/>
        <v>HKQ1</v>
      </c>
      <c r="F600" s="49">
        <f t="shared" si="1184"/>
        <v>5</v>
      </c>
      <c r="G600" s="49" t="str">
        <f t="shared" si="1184"/>
        <v>GOVT</v>
      </c>
      <c r="H600" s="49" t="str">
        <f t="shared" si="1184"/>
        <v>IPDS</v>
      </c>
      <c r="I600" s="49">
        <f t="shared" si="1184"/>
        <v>5</v>
      </c>
      <c r="J600" s="49" t="str">
        <f t="shared" si="1184"/>
        <v>LT3(I)</v>
      </c>
      <c r="K600" s="84">
        <f>'HKQ1'!Q64</f>
        <v>11053</v>
      </c>
      <c r="L600" s="84">
        <f>'HKQ1'!P64</f>
        <v>11225</v>
      </c>
      <c r="M600" s="84">
        <f t="shared" si="1138"/>
        <v>1</v>
      </c>
      <c r="N600" s="84">
        <f t="shared" si="1178"/>
        <v>172</v>
      </c>
      <c r="O600" s="84">
        <f>'HKQ1'!F64</f>
        <v>6403.4</v>
      </c>
      <c r="P600" s="84">
        <f>'HKQ1'!E64</f>
        <v>6589.3</v>
      </c>
      <c r="Q600" s="84">
        <f t="shared" si="1139"/>
        <v>1</v>
      </c>
      <c r="R600" s="84">
        <f t="shared" si="1179"/>
        <v>185.90000000000055</v>
      </c>
      <c r="S600" s="84">
        <f>'HKQ1'!K64</f>
        <v>5869.1</v>
      </c>
      <c r="T600" s="84">
        <f>'HKQ1'!J64</f>
        <v>5944.2</v>
      </c>
      <c r="U600" s="84">
        <f t="shared" si="1140"/>
        <v>1</v>
      </c>
      <c r="V600" s="84">
        <f t="shared" si="1180"/>
        <v>75.099999999999454</v>
      </c>
      <c r="W600" s="84"/>
      <c r="X600" s="84"/>
      <c r="Y600" s="85">
        <f t="shared" si="1181"/>
        <v>1.1466666666666667</v>
      </c>
      <c r="Z600" s="84"/>
      <c r="AA600" s="82"/>
    </row>
    <row r="601" spans="1:27" s="40" customFormat="1" ht="39.950000000000003" hidden="1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5"/>
      <c r="Z601" s="84"/>
      <c r="AA601" s="82"/>
    </row>
    <row r="602" spans="1:27" s="40" customFormat="1" ht="39.950000000000003" hidden="1" customHeight="1" x14ac:dyDescent="0.25">
      <c r="A602" s="49">
        <v>1</v>
      </c>
      <c r="B602" s="49" t="s">
        <v>43</v>
      </c>
      <c r="C602" s="57" t="s">
        <v>229</v>
      </c>
      <c r="D602" s="59" t="s">
        <v>233</v>
      </c>
      <c r="E602" s="55" t="s">
        <v>234</v>
      </c>
      <c r="F602" s="50">
        <v>8</v>
      </c>
      <c r="G602" s="49" t="s">
        <v>221</v>
      </c>
      <c r="H602" s="64" t="s">
        <v>222</v>
      </c>
      <c r="I602" s="49">
        <v>5</v>
      </c>
      <c r="J602" s="49" t="s">
        <v>95</v>
      </c>
      <c r="K602" s="84">
        <f>HDTL60092!Q31</f>
        <v>22303.3</v>
      </c>
      <c r="L602" s="84">
        <f>HDTL60092!P31</f>
        <v>22628.9</v>
      </c>
      <c r="M602" s="84">
        <f>'[1]April-18'!M32</f>
        <v>1</v>
      </c>
      <c r="N602" s="84">
        <f t="shared" si="0"/>
        <v>325.60000000000218</v>
      </c>
      <c r="O602" s="84">
        <f>HDTL60092!F31</f>
        <v>9164.2999999999993</v>
      </c>
      <c r="P602" s="84">
        <f>HDTL60092!E31</f>
        <v>9778.4</v>
      </c>
      <c r="Q602" s="84">
        <v>1</v>
      </c>
      <c r="R602" s="84">
        <f t="shared" si="683"/>
        <v>614.10000000000036</v>
      </c>
      <c r="S602" s="84">
        <f>HDTL60092!K31</f>
        <v>4309.3999999999996</v>
      </c>
      <c r="T602" s="84">
        <f>HDTL60092!J31</f>
        <v>4443.1000000000004</v>
      </c>
      <c r="U602" s="84">
        <f>'[1]April-18'!U32</f>
        <v>1</v>
      </c>
      <c r="V602" s="84">
        <f t="shared" si="684"/>
        <v>133.70000000000073</v>
      </c>
      <c r="W602" s="84"/>
      <c r="X602" s="84"/>
      <c r="Y602" s="85">
        <f t="shared" si="917"/>
        <v>2.1706666666666812</v>
      </c>
      <c r="Z602" s="84"/>
      <c r="AA602" s="82" t="str">
        <f>HDTL60092!B31</f>
        <v>01.08.2019</v>
      </c>
    </row>
    <row r="603" spans="1:27" s="40" customFormat="1" ht="39.950000000000003" hidden="1" customHeight="1" x14ac:dyDescent="0.25">
      <c r="A603" s="49">
        <v>2</v>
      </c>
      <c r="B603" s="49" t="str">
        <f>B602</f>
        <v>H D Kote</v>
      </c>
      <c r="C603" s="49" t="str">
        <f t="shared" ref="C603:J604" si="1185">C602</f>
        <v>HDKOTE/1714</v>
      </c>
      <c r="D603" s="49" t="str">
        <f t="shared" si="1185"/>
        <v>ST Boys Hostel</v>
      </c>
      <c r="E603" s="49" t="str">
        <f t="shared" si="1185"/>
        <v>HKHDTL - 60092</v>
      </c>
      <c r="F603" s="49">
        <f t="shared" si="1185"/>
        <v>8</v>
      </c>
      <c r="G603" s="49" t="str">
        <f t="shared" si="1185"/>
        <v>GOVT</v>
      </c>
      <c r="H603" s="49" t="str">
        <f t="shared" si="1185"/>
        <v>IPDS</v>
      </c>
      <c r="I603" s="49">
        <f t="shared" si="1185"/>
        <v>5</v>
      </c>
      <c r="J603" s="49" t="str">
        <f t="shared" si="1185"/>
        <v>LT2A(I)</v>
      </c>
      <c r="K603" s="84">
        <f>HDTL60092!Q32</f>
        <v>22628.9</v>
      </c>
      <c r="L603" s="84">
        <f>HDTL60092!P32</f>
        <v>22929</v>
      </c>
      <c r="M603" s="84">
        <f t="shared" ref="M603:M625" si="1186">M569</f>
        <v>1</v>
      </c>
      <c r="N603" s="84">
        <f t="shared" si="0"/>
        <v>300.09999999999854</v>
      </c>
      <c r="O603" s="84">
        <f>HDTL60092!F32</f>
        <v>9778.4</v>
      </c>
      <c r="P603" s="84">
        <f>HDTL60092!E32</f>
        <v>10309.6</v>
      </c>
      <c r="Q603" s="84">
        <f>Q602</f>
        <v>1</v>
      </c>
      <c r="R603" s="84">
        <f t="shared" si="683"/>
        <v>531.20000000000073</v>
      </c>
      <c r="S603" s="84">
        <f>HDTL60092!K32</f>
        <v>4443.1000000000004</v>
      </c>
      <c r="T603" s="84">
        <f>HDTL60092!J32</f>
        <v>4612.7</v>
      </c>
      <c r="U603" s="84">
        <f t="shared" ref="U603:U625" si="1187">U569</f>
        <v>1</v>
      </c>
      <c r="V603" s="84">
        <f t="shared" si="684"/>
        <v>169.59999999999945</v>
      </c>
      <c r="W603" s="84"/>
      <c r="X603" s="84"/>
      <c r="Y603" s="85">
        <f t="shared" si="917"/>
        <v>2.0006666666666568</v>
      </c>
      <c r="Z603" s="84"/>
      <c r="AA603" s="82" t="str">
        <f>HDTL60092!B32</f>
        <v>01.09.2019</v>
      </c>
    </row>
    <row r="604" spans="1:27" s="40" customFormat="1" ht="39.950000000000003" hidden="1" customHeight="1" x14ac:dyDescent="0.25">
      <c r="A604" s="49">
        <v>3</v>
      </c>
      <c r="B604" s="49" t="str">
        <f>B603</f>
        <v>H D Kote</v>
      </c>
      <c r="C604" s="49" t="str">
        <f t="shared" si="1185"/>
        <v>HDKOTE/1714</v>
      </c>
      <c r="D604" s="49" t="str">
        <f t="shared" si="1185"/>
        <v>ST Boys Hostel</v>
      </c>
      <c r="E604" s="49" t="str">
        <f t="shared" si="1185"/>
        <v>HKHDTL - 60092</v>
      </c>
      <c r="F604" s="49">
        <f t="shared" si="1185"/>
        <v>8</v>
      </c>
      <c r="G604" s="49" t="str">
        <f t="shared" si="1185"/>
        <v>GOVT</v>
      </c>
      <c r="H604" s="49" t="str">
        <f t="shared" si="1185"/>
        <v>IPDS</v>
      </c>
      <c r="I604" s="49">
        <f t="shared" si="1185"/>
        <v>5</v>
      </c>
      <c r="J604" s="49" t="str">
        <f t="shared" si="1185"/>
        <v>LT2A(I)</v>
      </c>
      <c r="K604" s="84">
        <f>HDTL60092!Q33</f>
        <v>22929</v>
      </c>
      <c r="L604" s="84">
        <f>HDTL60092!P33</f>
        <v>23294.3</v>
      </c>
      <c r="M604" s="84">
        <f t="shared" si="1186"/>
        <v>1</v>
      </c>
      <c r="N604" s="84">
        <f t="shared" si="0"/>
        <v>365.29999999999927</v>
      </c>
      <c r="O604" s="84">
        <f>HDTL60092!F33</f>
        <v>10309.6</v>
      </c>
      <c r="P604" s="84">
        <f>HDTL60092!E33</f>
        <v>10915</v>
      </c>
      <c r="Q604" s="84">
        <f>Q603</f>
        <v>1</v>
      </c>
      <c r="R604" s="84">
        <f t="shared" si="683"/>
        <v>605.39999999999964</v>
      </c>
      <c r="S604" s="84">
        <f>HDTL60092!K33</f>
        <v>4612.7</v>
      </c>
      <c r="T604" s="84">
        <f>HDTL60092!J33</f>
        <v>4846.5</v>
      </c>
      <c r="U604" s="84">
        <f t="shared" si="1187"/>
        <v>1</v>
      </c>
      <c r="V604" s="84">
        <f t="shared" si="684"/>
        <v>233.80000000000018</v>
      </c>
      <c r="W604" s="84"/>
      <c r="X604" s="84"/>
      <c r="Y604" s="85">
        <f t="shared" si="917"/>
        <v>2.4353333333333285</v>
      </c>
      <c r="Z604" s="84"/>
      <c r="AA604" s="82" t="str">
        <f>HDTL60092!B33</f>
        <v>01.10.2019</v>
      </c>
    </row>
    <row r="605" spans="1:27" s="40" customFormat="1" ht="39.950000000000003" hidden="1" customHeight="1" x14ac:dyDescent="0.25">
      <c r="A605" s="49">
        <v>4</v>
      </c>
      <c r="B605" s="49" t="str">
        <f t="shared" ref="B605:J608" si="1188">B604</f>
        <v>H D Kote</v>
      </c>
      <c r="C605" s="49" t="str">
        <f t="shared" si="1188"/>
        <v>HDKOTE/1714</v>
      </c>
      <c r="D605" s="49" t="str">
        <f t="shared" si="1188"/>
        <v>ST Boys Hostel</v>
      </c>
      <c r="E605" s="49" t="str">
        <f t="shared" si="1188"/>
        <v>HKHDTL - 60092</v>
      </c>
      <c r="F605" s="49">
        <f t="shared" si="1188"/>
        <v>8</v>
      </c>
      <c r="G605" s="49" t="str">
        <f t="shared" si="1188"/>
        <v>GOVT</v>
      </c>
      <c r="H605" s="49" t="str">
        <f t="shared" si="1188"/>
        <v>IPDS</v>
      </c>
      <c r="I605" s="49">
        <f t="shared" si="1188"/>
        <v>5</v>
      </c>
      <c r="J605" s="49" t="str">
        <f t="shared" si="1188"/>
        <v>LT2A(I)</v>
      </c>
      <c r="K605" s="84">
        <f>HDTL60092!Q34</f>
        <v>23294.3</v>
      </c>
      <c r="L605" s="84">
        <f>HDTL60092!P34</f>
        <v>23679.200000000001</v>
      </c>
      <c r="M605" s="84">
        <f t="shared" si="1186"/>
        <v>1</v>
      </c>
      <c r="N605" s="84">
        <f t="shared" si="0"/>
        <v>384.90000000000146</v>
      </c>
      <c r="O605" s="84">
        <f>HDTL60092!F34</f>
        <v>10915</v>
      </c>
      <c r="P605" s="84">
        <f>HDTL60092!E34</f>
        <v>11075.8</v>
      </c>
      <c r="Q605" s="84">
        <f t="shared" ref="Q605:Q632" si="1189">Q604</f>
        <v>1</v>
      </c>
      <c r="R605" s="84">
        <f t="shared" si="683"/>
        <v>160.79999999999927</v>
      </c>
      <c r="S605" s="84">
        <f>HDTL60092!K34</f>
        <v>4846.5</v>
      </c>
      <c r="T605" s="84">
        <f>HDTL60092!J34</f>
        <v>5182.7</v>
      </c>
      <c r="U605" s="84">
        <f t="shared" si="1187"/>
        <v>1</v>
      </c>
      <c r="V605" s="84">
        <f t="shared" si="684"/>
        <v>336.19999999999982</v>
      </c>
      <c r="W605" s="84"/>
      <c r="X605" s="84"/>
      <c r="Y605" s="85">
        <f t="shared" si="917"/>
        <v>2.5660000000000096</v>
      </c>
      <c r="Z605" s="84"/>
      <c r="AA605" s="82" t="str">
        <f>HDTL60092!B34</f>
        <v>01.11.2019</v>
      </c>
    </row>
    <row r="606" spans="1:27" s="40" customFormat="1" ht="39.950000000000003" hidden="1" customHeight="1" x14ac:dyDescent="0.25">
      <c r="A606" s="49">
        <v>5</v>
      </c>
      <c r="B606" s="49" t="str">
        <f t="shared" si="1188"/>
        <v>H D Kote</v>
      </c>
      <c r="C606" s="49" t="str">
        <f t="shared" si="1188"/>
        <v>HDKOTE/1714</v>
      </c>
      <c r="D606" s="49" t="str">
        <f t="shared" si="1188"/>
        <v>ST Boys Hostel</v>
      </c>
      <c r="E606" s="49" t="str">
        <f t="shared" si="1188"/>
        <v>HKHDTL - 60092</v>
      </c>
      <c r="F606" s="49">
        <f t="shared" si="1188"/>
        <v>8</v>
      </c>
      <c r="G606" s="49" t="str">
        <f t="shared" si="1188"/>
        <v>GOVT</v>
      </c>
      <c r="H606" s="49" t="str">
        <f t="shared" si="1188"/>
        <v>IPDS</v>
      </c>
      <c r="I606" s="49">
        <f t="shared" si="1188"/>
        <v>5</v>
      </c>
      <c r="J606" s="49" t="str">
        <f t="shared" si="1188"/>
        <v>LT2A(I)</v>
      </c>
      <c r="K606" s="84">
        <f>HDTL60092!Q35</f>
        <v>23679.200000000001</v>
      </c>
      <c r="L606" s="84">
        <f>HDTL60092!P35</f>
        <v>23960</v>
      </c>
      <c r="M606" s="84">
        <f t="shared" si="1186"/>
        <v>1</v>
      </c>
      <c r="N606" s="84">
        <f t="shared" si="0"/>
        <v>280.79999999999927</v>
      </c>
      <c r="O606" s="84">
        <f>HDTL60092!F35</f>
        <v>11075.8</v>
      </c>
      <c r="P606" s="84">
        <f>HDTL60092!E35</f>
        <v>11661.8</v>
      </c>
      <c r="Q606" s="84">
        <f t="shared" si="1189"/>
        <v>1</v>
      </c>
      <c r="R606" s="84">
        <f t="shared" si="683"/>
        <v>586</v>
      </c>
      <c r="S606" s="84">
        <f>HDTL60092!K35</f>
        <v>5182.7</v>
      </c>
      <c r="T606" s="84">
        <f>HDTL60092!J35</f>
        <v>5395</v>
      </c>
      <c r="U606" s="84">
        <f t="shared" si="1187"/>
        <v>1</v>
      </c>
      <c r="V606" s="84">
        <f t="shared" si="684"/>
        <v>212.30000000000018</v>
      </c>
      <c r="W606" s="84"/>
      <c r="X606" s="84"/>
      <c r="Y606" s="85">
        <f t="shared" si="917"/>
        <v>1.8719999999999952</v>
      </c>
      <c r="Z606" s="84"/>
      <c r="AA606" s="82" t="str">
        <f>HDTL60092!B35</f>
        <v>01.12.2019</v>
      </c>
    </row>
    <row r="607" spans="1:27" s="40" customFormat="1" ht="39.950000000000003" hidden="1" customHeight="1" x14ac:dyDescent="0.25">
      <c r="A607" s="49">
        <v>6</v>
      </c>
      <c r="B607" s="49" t="str">
        <f t="shared" si="1188"/>
        <v>H D Kote</v>
      </c>
      <c r="C607" s="49" t="str">
        <f t="shared" si="1188"/>
        <v>HDKOTE/1714</v>
      </c>
      <c r="D607" s="49" t="str">
        <f t="shared" si="1188"/>
        <v>ST Boys Hostel</v>
      </c>
      <c r="E607" s="49" t="str">
        <f t="shared" si="1188"/>
        <v>HKHDTL - 60092</v>
      </c>
      <c r="F607" s="49">
        <f t="shared" si="1188"/>
        <v>8</v>
      </c>
      <c r="G607" s="49" t="str">
        <f t="shared" si="1188"/>
        <v>GOVT</v>
      </c>
      <c r="H607" s="49" t="str">
        <f t="shared" si="1188"/>
        <v>IPDS</v>
      </c>
      <c r="I607" s="49">
        <f t="shared" si="1188"/>
        <v>5</v>
      </c>
      <c r="J607" s="49" t="str">
        <f t="shared" si="1188"/>
        <v>LT2A(I)</v>
      </c>
      <c r="K607" s="84">
        <f>HDTL60092!Q36</f>
        <v>23960</v>
      </c>
      <c r="L607" s="84">
        <f>HDTL60092!P36</f>
        <v>24259</v>
      </c>
      <c r="M607" s="84">
        <f t="shared" si="1186"/>
        <v>1</v>
      </c>
      <c r="N607" s="84">
        <f t="shared" si="0"/>
        <v>299</v>
      </c>
      <c r="O607" s="84">
        <f>HDTL60092!F36</f>
        <v>11661.8</v>
      </c>
      <c r="P607" s="84">
        <f>HDTL60092!E36</f>
        <v>12150</v>
      </c>
      <c r="Q607" s="84">
        <f t="shared" si="1189"/>
        <v>1</v>
      </c>
      <c r="R607" s="84">
        <f t="shared" ref="R607:R641" si="1190">(P607-O607)*Q607</f>
        <v>488.20000000000073</v>
      </c>
      <c r="S607" s="84">
        <f>HDTL60092!K36</f>
        <v>5395</v>
      </c>
      <c r="T607" s="84">
        <f>HDTL60092!J36</f>
        <v>5605</v>
      </c>
      <c r="U607" s="84">
        <f t="shared" si="1187"/>
        <v>1</v>
      </c>
      <c r="V607" s="84">
        <f t="shared" ref="V607:V641" si="1191">(T607-S607)*U607</f>
        <v>210</v>
      </c>
      <c r="W607" s="84"/>
      <c r="X607" s="84"/>
      <c r="Y607" s="85">
        <f t="shared" si="917"/>
        <v>1.9933333333333334</v>
      </c>
      <c r="Z607" s="84"/>
      <c r="AA607" s="82" t="str">
        <f>HDTL60092!B36</f>
        <v>01.01.2020</v>
      </c>
    </row>
    <row r="608" spans="1:27" s="40" customFormat="1" ht="39.950000000000003" hidden="1" customHeight="1" x14ac:dyDescent="0.25">
      <c r="A608" s="49">
        <v>7</v>
      </c>
      <c r="B608" s="49" t="str">
        <f t="shared" si="1188"/>
        <v>H D Kote</v>
      </c>
      <c r="C608" s="49" t="str">
        <f t="shared" si="1188"/>
        <v>HDKOTE/1714</v>
      </c>
      <c r="D608" s="49" t="str">
        <f t="shared" si="1188"/>
        <v>ST Boys Hostel</v>
      </c>
      <c r="E608" s="49" t="str">
        <f t="shared" si="1188"/>
        <v>HKHDTL - 60092</v>
      </c>
      <c r="F608" s="49">
        <f t="shared" si="1188"/>
        <v>8</v>
      </c>
      <c r="G608" s="49" t="str">
        <f t="shared" si="1188"/>
        <v>GOVT</v>
      </c>
      <c r="H608" s="49" t="str">
        <f t="shared" si="1188"/>
        <v>IPDS</v>
      </c>
      <c r="I608" s="49">
        <f t="shared" si="1188"/>
        <v>5</v>
      </c>
      <c r="J608" s="49" t="str">
        <f t="shared" si="1188"/>
        <v>LT2A(I)</v>
      </c>
      <c r="K608" s="84">
        <f>HDTL60092!Q37</f>
        <v>24259</v>
      </c>
      <c r="L608" s="84">
        <f>HDTL60092!P37</f>
        <v>24360</v>
      </c>
      <c r="M608" s="84">
        <f t="shared" si="1186"/>
        <v>1</v>
      </c>
      <c r="N608" s="84">
        <f t="shared" si="0"/>
        <v>101</v>
      </c>
      <c r="O608" s="84">
        <f>HDTL60092!F37</f>
        <v>12150</v>
      </c>
      <c r="P608" s="84">
        <f>HDTL60092!E37</f>
        <v>12719</v>
      </c>
      <c r="Q608" s="84">
        <f t="shared" si="1189"/>
        <v>1</v>
      </c>
      <c r="R608" s="84">
        <f t="shared" si="1190"/>
        <v>569</v>
      </c>
      <c r="S608" s="84">
        <f>HDTL60092!K37</f>
        <v>5605</v>
      </c>
      <c r="T608" s="84">
        <f>HDTL60092!J37</f>
        <v>5694</v>
      </c>
      <c r="U608" s="84">
        <f t="shared" si="1187"/>
        <v>1</v>
      </c>
      <c r="V608" s="84">
        <f t="shared" si="1191"/>
        <v>89</v>
      </c>
      <c r="W608" s="84"/>
      <c r="X608" s="84"/>
      <c r="Y608" s="85">
        <f t="shared" si="917"/>
        <v>0.67333333333333334</v>
      </c>
      <c r="Z608" s="84"/>
      <c r="AA608" s="82" t="s">
        <v>253</v>
      </c>
    </row>
    <row r="609" spans="1:27" s="40" customFormat="1" ht="39.950000000000003" hidden="1" customHeight="1" x14ac:dyDescent="0.25">
      <c r="A609" s="49">
        <v>8</v>
      </c>
      <c r="B609" s="49" t="str">
        <f t="shared" ref="B609:J609" si="1192">B608</f>
        <v>H D Kote</v>
      </c>
      <c r="C609" s="49" t="str">
        <f t="shared" si="1192"/>
        <v>HDKOTE/1714</v>
      </c>
      <c r="D609" s="49" t="str">
        <f t="shared" si="1192"/>
        <v>ST Boys Hostel</v>
      </c>
      <c r="E609" s="49" t="str">
        <f t="shared" si="1192"/>
        <v>HKHDTL - 60092</v>
      </c>
      <c r="F609" s="49">
        <f t="shared" si="1192"/>
        <v>8</v>
      </c>
      <c r="G609" s="49" t="str">
        <f t="shared" si="1192"/>
        <v>GOVT</v>
      </c>
      <c r="H609" s="49" t="str">
        <f t="shared" si="1192"/>
        <v>IPDS</v>
      </c>
      <c r="I609" s="49">
        <f t="shared" si="1192"/>
        <v>5</v>
      </c>
      <c r="J609" s="49" t="str">
        <f t="shared" si="1192"/>
        <v>LT2A(I)</v>
      </c>
      <c r="K609" s="84">
        <f>HDTL60092!Q38</f>
        <v>24360</v>
      </c>
      <c r="L609" s="84">
        <f>HDTL60092!P38</f>
        <v>24360</v>
      </c>
      <c r="M609" s="84">
        <f t="shared" si="1186"/>
        <v>1</v>
      </c>
      <c r="N609" s="84">
        <f t="shared" ref="N609:N613" si="1193">(L609-K609)*M609</f>
        <v>0</v>
      </c>
      <c r="O609" s="84">
        <f>HDTL60092!F38</f>
        <v>12719</v>
      </c>
      <c r="P609" s="84">
        <f>HDTL60092!E38</f>
        <v>13259.8</v>
      </c>
      <c r="Q609" s="84">
        <f t="shared" si="1189"/>
        <v>1</v>
      </c>
      <c r="R609" s="84">
        <f t="shared" ref="R609:R613" si="1194">(P609-O609)*Q609</f>
        <v>540.79999999999927</v>
      </c>
      <c r="S609" s="84">
        <f>HDTL60092!K38</f>
        <v>5694</v>
      </c>
      <c r="T609" s="84">
        <f>HDTL60092!J38</f>
        <v>5694</v>
      </c>
      <c r="U609" s="84">
        <f t="shared" si="1187"/>
        <v>1</v>
      </c>
      <c r="V609" s="84">
        <f t="shared" ref="V609:V613" si="1195">(T609-S609)*U609</f>
        <v>0</v>
      </c>
      <c r="W609" s="84"/>
      <c r="X609" s="84"/>
      <c r="Y609" s="85">
        <f t="shared" ref="Y609:Y613" si="1196">N609/30/I609</f>
        <v>0</v>
      </c>
      <c r="Z609" s="84"/>
      <c r="AA609" s="82" t="s">
        <v>254</v>
      </c>
    </row>
    <row r="610" spans="1:27" s="40" customFormat="1" ht="39.950000000000003" hidden="1" customHeight="1" x14ac:dyDescent="0.25">
      <c r="A610" s="49">
        <v>9</v>
      </c>
      <c r="B610" s="49" t="str">
        <f t="shared" ref="B610:J610" si="1197">B609</f>
        <v>H D Kote</v>
      </c>
      <c r="C610" s="49" t="str">
        <f t="shared" si="1197"/>
        <v>HDKOTE/1714</v>
      </c>
      <c r="D610" s="49" t="str">
        <f t="shared" si="1197"/>
        <v>ST Boys Hostel</v>
      </c>
      <c r="E610" s="49" t="str">
        <f t="shared" si="1197"/>
        <v>HKHDTL - 60092</v>
      </c>
      <c r="F610" s="49">
        <f t="shared" si="1197"/>
        <v>8</v>
      </c>
      <c r="G610" s="49" t="str">
        <f t="shared" si="1197"/>
        <v>GOVT</v>
      </c>
      <c r="H610" s="49" t="str">
        <f t="shared" si="1197"/>
        <v>IPDS</v>
      </c>
      <c r="I610" s="49">
        <f t="shared" si="1197"/>
        <v>5</v>
      </c>
      <c r="J610" s="49" t="str">
        <f t="shared" si="1197"/>
        <v>LT2A(I)</v>
      </c>
      <c r="K610" s="84">
        <f>HDTL60092!Q39</f>
        <v>24360</v>
      </c>
      <c r="L610" s="84">
        <f>HDTL60092!P39</f>
        <v>24361</v>
      </c>
      <c r="M610" s="84">
        <f t="shared" si="1186"/>
        <v>1</v>
      </c>
      <c r="N610" s="84">
        <f t="shared" si="1193"/>
        <v>1</v>
      </c>
      <c r="O610" s="84">
        <f>HDTL60092!F39</f>
        <v>13259.8</v>
      </c>
      <c r="P610" s="84">
        <f>HDTL60092!E39</f>
        <v>13469.8</v>
      </c>
      <c r="Q610" s="84">
        <f t="shared" si="1189"/>
        <v>1</v>
      </c>
      <c r="R610" s="84">
        <f t="shared" si="1194"/>
        <v>210</v>
      </c>
      <c r="S610" s="84">
        <f>HDTL60092!K39</f>
        <v>5694</v>
      </c>
      <c r="T610" s="84">
        <f>HDTL60092!J39</f>
        <v>5694</v>
      </c>
      <c r="U610" s="84">
        <f t="shared" si="1187"/>
        <v>1</v>
      </c>
      <c r="V610" s="84">
        <f t="shared" si="1195"/>
        <v>0</v>
      </c>
      <c r="W610" s="84"/>
      <c r="X610" s="84"/>
      <c r="Y610" s="85">
        <f t="shared" si="1196"/>
        <v>6.6666666666666662E-3</v>
      </c>
      <c r="Z610" s="84"/>
      <c r="AA610" s="82" t="s">
        <v>258</v>
      </c>
    </row>
    <row r="611" spans="1:27" s="40" customFormat="1" ht="39.950000000000003" hidden="1" customHeight="1" x14ac:dyDescent="0.25">
      <c r="A611" s="49">
        <v>10</v>
      </c>
      <c r="B611" s="49" t="str">
        <f t="shared" ref="B611:J611" si="1198">B610</f>
        <v>H D Kote</v>
      </c>
      <c r="C611" s="49" t="str">
        <f t="shared" si="1198"/>
        <v>HDKOTE/1714</v>
      </c>
      <c r="D611" s="49" t="str">
        <f t="shared" si="1198"/>
        <v>ST Boys Hostel</v>
      </c>
      <c r="E611" s="49" t="str">
        <f t="shared" si="1198"/>
        <v>HKHDTL - 60092</v>
      </c>
      <c r="F611" s="49">
        <f t="shared" si="1198"/>
        <v>8</v>
      </c>
      <c r="G611" s="49" t="str">
        <f t="shared" si="1198"/>
        <v>GOVT</v>
      </c>
      <c r="H611" s="49" t="str">
        <f t="shared" si="1198"/>
        <v>IPDS</v>
      </c>
      <c r="I611" s="49">
        <f t="shared" si="1198"/>
        <v>5</v>
      </c>
      <c r="J611" s="49" t="str">
        <f t="shared" si="1198"/>
        <v>LT2A(I)</v>
      </c>
      <c r="K611" s="84">
        <f>HDTL60092!Q40</f>
        <v>0</v>
      </c>
      <c r="L611" s="84">
        <f>HDTL60092!P40</f>
        <v>0</v>
      </c>
      <c r="M611" s="84">
        <f t="shared" si="1186"/>
        <v>1</v>
      </c>
      <c r="N611" s="84">
        <f t="shared" si="1193"/>
        <v>0</v>
      </c>
      <c r="O611" s="84">
        <f>HDTL60092!F40</f>
        <v>0</v>
      </c>
      <c r="P611" s="84">
        <f>HDTL60092!E40</f>
        <v>0</v>
      </c>
      <c r="Q611" s="84">
        <f t="shared" si="1189"/>
        <v>1</v>
      </c>
      <c r="R611" s="84">
        <f t="shared" si="1194"/>
        <v>0</v>
      </c>
      <c r="S611" s="84">
        <f>HDTL60092!K40</f>
        <v>0</v>
      </c>
      <c r="T611" s="84">
        <f>HDTL60092!J40</f>
        <v>0</v>
      </c>
      <c r="U611" s="84">
        <f t="shared" si="1187"/>
        <v>1</v>
      </c>
      <c r="V611" s="84">
        <f t="shared" si="1195"/>
        <v>0</v>
      </c>
      <c r="W611" s="84"/>
      <c r="X611" s="84"/>
      <c r="Y611" s="85">
        <f t="shared" si="1196"/>
        <v>0</v>
      </c>
      <c r="Z611" s="84"/>
      <c r="AA611" s="82"/>
    </row>
    <row r="612" spans="1:27" s="40" customFormat="1" ht="39.950000000000003" hidden="1" customHeight="1" x14ac:dyDescent="0.25">
      <c r="A612" s="49">
        <v>11</v>
      </c>
      <c r="B612" s="49" t="str">
        <f t="shared" ref="B612:J614" si="1199">B611</f>
        <v>H D Kote</v>
      </c>
      <c r="C612" s="49" t="str">
        <f t="shared" si="1199"/>
        <v>HDKOTE/1714</v>
      </c>
      <c r="D612" s="49" t="str">
        <f t="shared" si="1199"/>
        <v>ST Boys Hostel</v>
      </c>
      <c r="E612" s="49" t="str">
        <f t="shared" si="1199"/>
        <v>HKHDTL - 60092</v>
      </c>
      <c r="F612" s="49">
        <f t="shared" si="1199"/>
        <v>8</v>
      </c>
      <c r="G612" s="49" t="str">
        <f t="shared" si="1199"/>
        <v>GOVT</v>
      </c>
      <c r="H612" s="49" t="str">
        <f t="shared" si="1199"/>
        <v>IPDS</v>
      </c>
      <c r="I612" s="49">
        <f t="shared" si="1199"/>
        <v>5</v>
      </c>
      <c r="J612" s="49" t="str">
        <f t="shared" si="1199"/>
        <v>LT2A(I)</v>
      </c>
      <c r="K612" s="84">
        <f>HDTL60092!Q41</f>
        <v>24361</v>
      </c>
      <c r="L612" s="84">
        <f>HDTL60092!P41</f>
        <v>24362.9</v>
      </c>
      <c r="M612" s="84">
        <f t="shared" si="1186"/>
        <v>1</v>
      </c>
      <c r="N612" s="84">
        <f t="shared" si="1193"/>
        <v>1.9000000000014552</v>
      </c>
      <c r="O612" s="84">
        <f>HDTL60092!F41</f>
        <v>13469.8</v>
      </c>
      <c r="P612" s="84">
        <f>HDTL60092!E41</f>
        <v>13640.1</v>
      </c>
      <c r="Q612" s="84">
        <f t="shared" si="1189"/>
        <v>1</v>
      </c>
      <c r="R612" s="84">
        <f t="shared" si="1194"/>
        <v>170.30000000000109</v>
      </c>
      <c r="S612" s="84">
        <f>HDTL60092!K41</f>
        <v>5694</v>
      </c>
      <c r="T612" s="84">
        <f>HDTL60092!J41</f>
        <v>5694</v>
      </c>
      <c r="U612" s="84">
        <f t="shared" si="1187"/>
        <v>1</v>
      </c>
      <c r="V612" s="84">
        <f t="shared" si="1195"/>
        <v>0</v>
      </c>
      <c r="W612" s="84"/>
      <c r="X612" s="84"/>
      <c r="Y612" s="85">
        <f t="shared" si="1196"/>
        <v>1.2666666666676369E-2</v>
      </c>
      <c r="Z612" s="84"/>
      <c r="AA612" s="82" t="s">
        <v>259</v>
      </c>
    </row>
    <row r="613" spans="1:27" s="40" customFormat="1" ht="39.950000000000003" hidden="1" customHeight="1" x14ac:dyDescent="0.25">
      <c r="A613" s="49">
        <v>12</v>
      </c>
      <c r="B613" s="49" t="str">
        <f t="shared" ref="B613:J613" si="1200">B612</f>
        <v>H D Kote</v>
      </c>
      <c r="C613" s="49" t="str">
        <f t="shared" si="1200"/>
        <v>HDKOTE/1714</v>
      </c>
      <c r="D613" s="49" t="str">
        <f t="shared" si="1200"/>
        <v>ST Boys Hostel</v>
      </c>
      <c r="E613" s="49" t="str">
        <f t="shared" si="1200"/>
        <v>HKHDTL - 60092</v>
      </c>
      <c r="F613" s="49">
        <f t="shared" si="1200"/>
        <v>8</v>
      </c>
      <c r="G613" s="49" t="str">
        <f t="shared" si="1200"/>
        <v>GOVT</v>
      </c>
      <c r="H613" s="49" t="str">
        <f t="shared" si="1200"/>
        <v>IPDS</v>
      </c>
      <c r="I613" s="49">
        <f t="shared" si="1200"/>
        <v>5</v>
      </c>
      <c r="J613" s="49" t="str">
        <f t="shared" si="1200"/>
        <v>LT2A(I)</v>
      </c>
      <c r="K613" s="84">
        <f>HDTL60092!Q42</f>
        <v>24362.9</v>
      </c>
      <c r="L613" s="84">
        <f>HDTL60092!P42</f>
        <v>24364</v>
      </c>
      <c r="M613" s="84">
        <f t="shared" si="1186"/>
        <v>1</v>
      </c>
      <c r="N613" s="84">
        <f t="shared" si="1193"/>
        <v>1.0999999999985448</v>
      </c>
      <c r="O613" s="84">
        <f>HDTL60092!F42</f>
        <v>13640.1</v>
      </c>
      <c r="P613" s="84">
        <f>HDTL60092!E42</f>
        <v>13720.7</v>
      </c>
      <c r="Q613" s="84">
        <f t="shared" si="1189"/>
        <v>1</v>
      </c>
      <c r="R613" s="84">
        <f t="shared" si="1194"/>
        <v>80.600000000000364</v>
      </c>
      <c r="S613" s="84">
        <f>HDTL60092!K42</f>
        <v>5694</v>
      </c>
      <c r="T613" s="84">
        <f>HDTL60092!J42</f>
        <v>5694</v>
      </c>
      <c r="U613" s="84">
        <f t="shared" si="1187"/>
        <v>1</v>
      </c>
      <c r="V613" s="84">
        <f t="shared" si="1195"/>
        <v>0</v>
      </c>
      <c r="W613" s="84"/>
      <c r="X613" s="84"/>
      <c r="Y613" s="85">
        <f t="shared" si="1196"/>
        <v>7.3333333333236318E-3</v>
      </c>
      <c r="Z613" s="84"/>
      <c r="AA613" s="82" t="s">
        <v>263</v>
      </c>
    </row>
    <row r="614" spans="1:27" s="40" customFormat="1" ht="39.950000000000003" hidden="1" customHeight="1" x14ac:dyDescent="0.25">
      <c r="A614" s="49">
        <v>13</v>
      </c>
      <c r="B614" s="49" t="str">
        <f t="shared" si="1199"/>
        <v>H D Kote</v>
      </c>
      <c r="C614" s="49" t="str">
        <f t="shared" si="1199"/>
        <v>HDKOTE/1714</v>
      </c>
      <c r="D614" s="49" t="str">
        <f t="shared" si="1199"/>
        <v>ST Boys Hostel</v>
      </c>
      <c r="E614" s="49" t="str">
        <f t="shared" si="1199"/>
        <v>HKHDTL - 60092</v>
      </c>
      <c r="F614" s="49">
        <f t="shared" si="1199"/>
        <v>8</v>
      </c>
      <c r="G614" s="49" t="str">
        <f t="shared" si="1199"/>
        <v>GOVT</v>
      </c>
      <c r="H614" s="49" t="str">
        <f t="shared" si="1199"/>
        <v>IPDS</v>
      </c>
      <c r="I614" s="49">
        <f t="shared" si="1199"/>
        <v>5</v>
      </c>
      <c r="J614" s="49" t="str">
        <f t="shared" si="1199"/>
        <v>LT2A(I)</v>
      </c>
      <c r="K614" s="84">
        <f>HDTL60092!Q43</f>
        <v>24362.9</v>
      </c>
      <c r="L614" s="84">
        <f>HDTL60092!P43</f>
        <v>24364</v>
      </c>
      <c r="M614" s="84">
        <f t="shared" si="1186"/>
        <v>1</v>
      </c>
      <c r="N614" s="84">
        <f t="shared" ref="N614:N615" si="1201">(L614-K614)*M614</f>
        <v>1.0999999999985448</v>
      </c>
      <c r="O614" s="84">
        <f>HDTL60092!F43</f>
        <v>13720.7</v>
      </c>
      <c r="P614" s="84">
        <f>HDTL60092!E43</f>
        <v>13834.3</v>
      </c>
      <c r="Q614" s="84">
        <f t="shared" si="1189"/>
        <v>1</v>
      </c>
      <c r="R614" s="84">
        <f t="shared" ref="R614:R615" si="1202">(P614-O614)*Q614</f>
        <v>113.59999999999854</v>
      </c>
      <c r="S614" s="84">
        <f>HDTL60092!K43</f>
        <v>5694</v>
      </c>
      <c r="T614" s="84">
        <f>HDTL60092!J43</f>
        <v>5694</v>
      </c>
      <c r="U614" s="84">
        <f t="shared" si="1187"/>
        <v>1</v>
      </c>
      <c r="V614" s="84">
        <f t="shared" ref="V614:V615" si="1203">(T614-S614)*U614</f>
        <v>0</v>
      </c>
      <c r="W614" s="84"/>
      <c r="X614" s="84"/>
      <c r="Y614" s="85">
        <f t="shared" ref="Y614:Y615" si="1204">N614/30/I614</f>
        <v>7.3333333333236318E-3</v>
      </c>
      <c r="Z614" s="84"/>
      <c r="AA614" s="82" t="s">
        <v>265</v>
      </c>
    </row>
    <row r="615" spans="1:27" s="40" customFormat="1" ht="39.950000000000003" hidden="1" customHeight="1" x14ac:dyDescent="0.25">
      <c r="A615" s="49">
        <v>14</v>
      </c>
      <c r="B615" s="49" t="str">
        <f t="shared" ref="B615:J615" si="1205">B614</f>
        <v>H D Kote</v>
      </c>
      <c r="C615" s="49" t="str">
        <f t="shared" si="1205"/>
        <v>HDKOTE/1714</v>
      </c>
      <c r="D615" s="49" t="str">
        <f t="shared" si="1205"/>
        <v>ST Boys Hostel</v>
      </c>
      <c r="E615" s="49" t="str">
        <f t="shared" si="1205"/>
        <v>HKHDTL - 60092</v>
      </c>
      <c r="F615" s="49">
        <f t="shared" si="1205"/>
        <v>8</v>
      </c>
      <c r="G615" s="49" t="str">
        <f t="shared" si="1205"/>
        <v>GOVT</v>
      </c>
      <c r="H615" s="49" t="str">
        <f t="shared" si="1205"/>
        <v>IPDS</v>
      </c>
      <c r="I615" s="49">
        <f t="shared" si="1205"/>
        <v>5</v>
      </c>
      <c r="J615" s="49" t="str">
        <f t="shared" si="1205"/>
        <v>LT2A(I)</v>
      </c>
      <c r="K615" s="84">
        <f>HDTL60092!Q44</f>
        <v>24364</v>
      </c>
      <c r="L615" s="84">
        <f>HDTL60092!P44</f>
        <v>24366.1</v>
      </c>
      <c r="M615" s="84">
        <f t="shared" si="1186"/>
        <v>1</v>
      </c>
      <c r="N615" s="84">
        <f t="shared" si="1201"/>
        <v>2.0999999999985448</v>
      </c>
      <c r="O615" s="84">
        <f>HDTL60092!F44</f>
        <v>13834.3</v>
      </c>
      <c r="P615" s="84">
        <f>HDTL60092!E44</f>
        <v>13920.9</v>
      </c>
      <c r="Q615" s="84">
        <f t="shared" si="1189"/>
        <v>1</v>
      </c>
      <c r="R615" s="84">
        <f t="shared" si="1202"/>
        <v>86.600000000000364</v>
      </c>
      <c r="S615" s="84">
        <f>HDTL60092!K44</f>
        <v>5694</v>
      </c>
      <c r="T615" s="84">
        <f>HDTL60092!J44</f>
        <v>5694</v>
      </c>
      <c r="U615" s="84">
        <f t="shared" si="1187"/>
        <v>1</v>
      </c>
      <c r="V615" s="84">
        <f t="shared" si="1203"/>
        <v>0</v>
      </c>
      <c r="W615" s="84"/>
      <c r="X615" s="84"/>
      <c r="Y615" s="85">
        <f t="shared" si="1204"/>
        <v>1.3999999999990298E-2</v>
      </c>
      <c r="Z615" s="84"/>
      <c r="AA615" s="82"/>
    </row>
    <row r="616" spans="1:27" s="40" customFormat="1" ht="39.950000000000003" hidden="1" customHeight="1" x14ac:dyDescent="0.25">
      <c r="A616" s="49">
        <v>15</v>
      </c>
      <c r="B616" s="49" t="str">
        <f t="shared" ref="B616:J616" si="1206">B615</f>
        <v>H D Kote</v>
      </c>
      <c r="C616" s="49" t="str">
        <f t="shared" si="1206"/>
        <v>HDKOTE/1714</v>
      </c>
      <c r="D616" s="49" t="str">
        <f t="shared" si="1206"/>
        <v>ST Boys Hostel</v>
      </c>
      <c r="E616" s="49" t="str">
        <f t="shared" si="1206"/>
        <v>HKHDTL - 60092</v>
      </c>
      <c r="F616" s="49">
        <f t="shared" si="1206"/>
        <v>8</v>
      </c>
      <c r="G616" s="49" t="str">
        <f t="shared" si="1206"/>
        <v>GOVT</v>
      </c>
      <c r="H616" s="49" t="str">
        <f t="shared" si="1206"/>
        <v>IPDS</v>
      </c>
      <c r="I616" s="49">
        <f t="shared" si="1206"/>
        <v>5</v>
      </c>
      <c r="J616" s="49" t="str">
        <f t="shared" si="1206"/>
        <v>LT2A(I)</v>
      </c>
      <c r="K616" s="84">
        <f>HDTL60092!Q45</f>
        <v>24364</v>
      </c>
      <c r="L616" s="84">
        <f>HDTL60092!P45</f>
        <v>24662</v>
      </c>
      <c r="M616" s="84">
        <f t="shared" si="1186"/>
        <v>1</v>
      </c>
      <c r="N616" s="84">
        <f t="shared" ref="N616:N624" si="1207">(L616-K616)*M616</f>
        <v>298</v>
      </c>
      <c r="O616" s="84">
        <f>HDTL60092!F45</f>
        <v>13920.9</v>
      </c>
      <c r="P616" s="84">
        <f>HDTL60092!E45</f>
        <v>13956.7</v>
      </c>
      <c r="Q616" s="84">
        <f t="shared" si="1189"/>
        <v>1</v>
      </c>
      <c r="R616" s="84">
        <f t="shared" ref="R616:R624" si="1208">(P616-O616)*Q616</f>
        <v>35.800000000001091</v>
      </c>
      <c r="S616" s="84">
        <f>HDTL60092!K45</f>
        <v>5694</v>
      </c>
      <c r="T616" s="84">
        <f>HDTL60092!J45</f>
        <v>5932.2</v>
      </c>
      <c r="U616" s="84">
        <f t="shared" si="1187"/>
        <v>1</v>
      </c>
      <c r="V616" s="84">
        <f t="shared" ref="V616:V624" si="1209">(T616-S616)*U616</f>
        <v>238.19999999999982</v>
      </c>
      <c r="W616" s="84"/>
      <c r="X616" s="84"/>
      <c r="Y616" s="85">
        <f t="shared" ref="Y616:Y624" si="1210">N616/30/I616</f>
        <v>1.9866666666666668</v>
      </c>
      <c r="Z616" s="84"/>
      <c r="AA616" s="82"/>
    </row>
    <row r="617" spans="1:27" s="40" customFormat="1" ht="39.950000000000003" hidden="1" customHeight="1" x14ac:dyDescent="0.25">
      <c r="A617" s="49">
        <v>16</v>
      </c>
      <c r="B617" s="49" t="str">
        <f t="shared" ref="B617:J617" si="1211">B616</f>
        <v>H D Kote</v>
      </c>
      <c r="C617" s="49" t="str">
        <f t="shared" si="1211"/>
        <v>HDKOTE/1714</v>
      </c>
      <c r="D617" s="49" t="str">
        <f t="shared" si="1211"/>
        <v>ST Boys Hostel</v>
      </c>
      <c r="E617" s="49" t="str">
        <f t="shared" si="1211"/>
        <v>HKHDTL - 60092</v>
      </c>
      <c r="F617" s="49">
        <f t="shared" si="1211"/>
        <v>8</v>
      </c>
      <c r="G617" s="49" t="str">
        <f t="shared" si="1211"/>
        <v>GOVT</v>
      </c>
      <c r="H617" s="49" t="str">
        <f t="shared" si="1211"/>
        <v>IPDS</v>
      </c>
      <c r="I617" s="49">
        <f t="shared" si="1211"/>
        <v>5</v>
      </c>
      <c r="J617" s="49" t="str">
        <f t="shared" si="1211"/>
        <v>LT2A(I)</v>
      </c>
      <c r="K617" s="84">
        <f>HDTL60092!Q46</f>
        <v>24662</v>
      </c>
      <c r="L617" s="84">
        <f>HDTL60092!P46</f>
        <v>24971.200000000001</v>
      </c>
      <c r="M617" s="84">
        <f t="shared" si="1186"/>
        <v>1</v>
      </c>
      <c r="N617" s="84">
        <f t="shared" si="1207"/>
        <v>309.20000000000073</v>
      </c>
      <c r="O617" s="84">
        <f>HDTL60092!F46</f>
        <v>13956.7</v>
      </c>
      <c r="P617" s="84">
        <f>HDTL60092!E46</f>
        <v>13991.4</v>
      </c>
      <c r="Q617" s="84">
        <f t="shared" si="1189"/>
        <v>1</v>
      </c>
      <c r="R617" s="84">
        <f t="shared" si="1208"/>
        <v>34.699999999998909</v>
      </c>
      <c r="S617" s="84">
        <f>HDTL60092!K46</f>
        <v>5932.2</v>
      </c>
      <c r="T617" s="84">
        <f>HDTL60092!J46</f>
        <v>6223.5</v>
      </c>
      <c r="U617" s="84">
        <f t="shared" si="1187"/>
        <v>1</v>
      </c>
      <c r="V617" s="84">
        <f t="shared" si="1209"/>
        <v>291.30000000000018</v>
      </c>
      <c r="W617" s="84"/>
      <c r="X617" s="84"/>
      <c r="Y617" s="85">
        <f t="shared" si="1210"/>
        <v>2.0613333333333381</v>
      </c>
      <c r="Z617" s="84"/>
      <c r="AA617" s="82"/>
    </row>
    <row r="618" spans="1:27" s="40" customFormat="1" ht="39.950000000000003" hidden="1" customHeight="1" x14ac:dyDescent="0.25">
      <c r="A618" s="93">
        <v>17</v>
      </c>
      <c r="B618" s="49" t="str">
        <f t="shared" ref="B618:J618" si="1212">B617</f>
        <v>H D Kote</v>
      </c>
      <c r="C618" s="49" t="str">
        <f t="shared" si="1212"/>
        <v>HDKOTE/1714</v>
      </c>
      <c r="D618" s="49" t="str">
        <f t="shared" si="1212"/>
        <v>ST Boys Hostel</v>
      </c>
      <c r="E618" s="49" t="str">
        <f t="shared" si="1212"/>
        <v>HKHDTL - 60092</v>
      </c>
      <c r="F618" s="49">
        <f t="shared" si="1212"/>
        <v>8</v>
      </c>
      <c r="G618" s="49" t="str">
        <f t="shared" si="1212"/>
        <v>GOVT</v>
      </c>
      <c r="H618" s="49" t="str">
        <f t="shared" si="1212"/>
        <v>IPDS</v>
      </c>
      <c r="I618" s="49">
        <f t="shared" si="1212"/>
        <v>5</v>
      </c>
      <c r="J618" s="49" t="str">
        <f t="shared" si="1212"/>
        <v>LT2A(I)</v>
      </c>
      <c r="K618" s="84">
        <f>HDTL60092!Q47</f>
        <v>24971.200000000001</v>
      </c>
      <c r="L618" s="84">
        <f>HDTL60092!P47</f>
        <v>25380</v>
      </c>
      <c r="M618" s="84">
        <f t="shared" si="1186"/>
        <v>1</v>
      </c>
      <c r="N618" s="84">
        <f t="shared" si="1207"/>
        <v>408.79999999999927</v>
      </c>
      <c r="O618" s="84">
        <f>HDTL60092!F47</f>
        <v>13991.4</v>
      </c>
      <c r="P618" s="84">
        <f>HDTL60092!E47</f>
        <v>14039.6</v>
      </c>
      <c r="Q618" s="84">
        <f t="shared" si="1189"/>
        <v>1</v>
      </c>
      <c r="R618" s="84">
        <f t="shared" si="1208"/>
        <v>48.200000000000728</v>
      </c>
      <c r="S618" s="84">
        <f>HDTL60092!K47</f>
        <v>6223.5</v>
      </c>
      <c r="T618" s="84">
        <f>HDTL60092!J47</f>
        <v>6600</v>
      </c>
      <c r="U618" s="84">
        <f t="shared" si="1187"/>
        <v>1</v>
      </c>
      <c r="V618" s="84">
        <f t="shared" si="1209"/>
        <v>376.5</v>
      </c>
      <c r="W618" s="84"/>
      <c r="X618" s="84"/>
      <c r="Y618" s="85">
        <f t="shared" si="1210"/>
        <v>2.7253333333333285</v>
      </c>
      <c r="Z618" s="84"/>
      <c r="AA618" s="82"/>
    </row>
    <row r="619" spans="1:27" s="40" customFormat="1" ht="39.950000000000003" hidden="1" customHeight="1" x14ac:dyDescent="0.25">
      <c r="A619" s="94">
        <v>18</v>
      </c>
      <c r="B619" s="49" t="str">
        <f t="shared" ref="B619:J619" si="1213">B618</f>
        <v>H D Kote</v>
      </c>
      <c r="C619" s="49" t="str">
        <f t="shared" si="1213"/>
        <v>HDKOTE/1714</v>
      </c>
      <c r="D619" s="49" t="str">
        <f t="shared" si="1213"/>
        <v>ST Boys Hostel</v>
      </c>
      <c r="E619" s="49" t="str">
        <f t="shared" si="1213"/>
        <v>HKHDTL - 60092</v>
      </c>
      <c r="F619" s="49">
        <f t="shared" si="1213"/>
        <v>8</v>
      </c>
      <c r="G619" s="49" t="str">
        <f t="shared" si="1213"/>
        <v>GOVT</v>
      </c>
      <c r="H619" s="49" t="str">
        <f t="shared" si="1213"/>
        <v>IPDS</v>
      </c>
      <c r="I619" s="49">
        <f t="shared" si="1213"/>
        <v>5</v>
      </c>
      <c r="J619" s="49" t="str">
        <f t="shared" si="1213"/>
        <v>LT2A(I)</v>
      </c>
      <c r="K619" s="84">
        <f>HDTL60092!Q48</f>
        <v>25380</v>
      </c>
      <c r="L619" s="84">
        <f>HDTL60092!P48</f>
        <v>25668</v>
      </c>
      <c r="M619" s="84">
        <f t="shared" si="1186"/>
        <v>1</v>
      </c>
      <c r="N619" s="84">
        <f t="shared" si="1207"/>
        <v>288</v>
      </c>
      <c r="O619" s="84">
        <f>HDTL60092!F48</f>
        <v>14039.6</v>
      </c>
      <c r="P619" s="84">
        <f>HDTL60092!E48</f>
        <v>14073</v>
      </c>
      <c r="Q619" s="84">
        <f t="shared" si="1189"/>
        <v>1</v>
      </c>
      <c r="R619" s="84">
        <f t="shared" si="1208"/>
        <v>33.399999999999636</v>
      </c>
      <c r="S619" s="84">
        <f>HDTL60092!K48</f>
        <v>6600</v>
      </c>
      <c r="T619" s="84">
        <f>HDTL60092!J48</f>
        <v>6842.2</v>
      </c>
      <c r="U619" s="84">
        <f t="shared" si="1187"/>
        <v>1</v>
      </c>
      <c r="V619" s="84">
        <f t="shared" si="1209"/>
        <v>242.19999999999982</v>
      </c>
      <c r="W619" s="84"/>
      <c r="X619" s="84"/>
      <c r="Y619" s="85">
        <f t="shared" si="1210"/>
        <v>1.92</v>
      </c>
      <c r="Z619" s="84"/>
      <c r="AA619" s="82"/>
    </row>
    <row r="620" spans="1:27" s="40" customFormat="1" ht="39.950000000000003" hidden="1" customHeight="1" x14ac:dyDescent="0.25">
      <c r="A620" s="95">
        <v>19</v>
      </c>
      <c r="B620" s="49" t="str">
        <f t="shared" ref="B620:J620" si="1214">B619</f>
        <v>H D Kote</v>
      </c>
      <c r="C620" s="49" t="str">
        <f t="shared" si="1214"/>
        <v>HDKOTE/1714</v>
      </c>
      <c r="D620" s="49" t="str">
        <f t="shared" si="1214"/>
        <v>ST Boys Hostel</v>
      </c>
      <c r="E620" s="49" t="str">
        <f t="shared" si="1214"/>
        <v>HKHDTL - 60092</v>
      </c>
      <c r="F620" s="49">
        <f t="shared" si="1214"/>
        <v>8</v>
      </c>
      <c r="G620" s="49" t="str">
        <f t="shared" si="1214"/>
        <v>GOVT</v>
      </c>
      <c r="H620" s="49" t="str">
        <f t="shared" si="1214"/>
        <v>IPDS</v>
      </c>
      <c r="I620" s="49">
        <f t="shared" si="1214"/>
        <v>5</v>
      </c>
      <c r="J620" s="49" t="str">
        <f t="shared" si="1214"/>
        <v>LT2A(I)</v>
      </c>
      <c r="K620" s="84">
        <f>HDTL60092!Q49</f>
        <v>25668</v>
      </c>
      <c r="L620" s="84">
        <f>HDTL60092!P49</f>
        <v>26021</v>
      </c>
      <c r="M620" s="84">
        <f t="shared" si="1186"/>
        <v>1</v>
      </c>
      <c r="N620" s="84">
        <f t="shared" si="1207"/>
        <v>353</v>
      </c>
      <c r="O620" s="84">
        <f>HDTL60092!F49</f>
        <v>14073</v>
      </c>
      <c r="P620" s="84">
        <f>HDTL60092!E49</f>
        <v>14133.4</v>
      </c>
      <c r="Q620" s="84">
        <f t="shared" si="1189"/>
        <v>1</v>
      </c>
      <c r="R620" s="84">
        <f t="shared" si="1208"/>
        <v>60.399999999999636</v>
      </c>
      <c r="S620" s="84">
        <f>HDTL60092!K49</f>
        <v>6842.2</v>
      </c>
      <c r="T620" s="84">
        <f>HDTL60092!J49</f>
        <v>7153.7</v>
      </c>
      <c r="U620" s="84">
        <f t="shared" si="1187"/>
        <v>1</v>
      </c>
      <c r="V620" s="84">
        <f t="shared" si="1209"/>
        <v>311.5</v>
      </c>
      <c r="W620" s="84"/>
      <c r="X620" s="84"/>
      <c r="Y620" s="85">
        <f t="shared" si="1210"/>
        <v>2.3533333333333335</v>
      </c>
      <c r="Z620" s="84"/>
      <c r="AA620" s="82"/>
    </row>
    <row r="621" spans="1:27" s="40" customFormat="1" ht="39.950000000000003" hidden="1" customHeight="1" x14ac:dyDescent="0.25">
      <c r="A621" s="49">
        <v>20</v>
      </c>
      <c r="B621" s="49" t="str">
        <f t="shared" ref="B621:J625" si="1215">B620</f>
        <v>H D Kote</v>
      </c>
      <c r="C621" s="49" t="str">
        <f t="shared" si="1215"/>
        <v>HDKOTE/1714</v>
      </c>
      <c r="D621" s="49" t="str">
        <f t="shared" si="1215"/>
        <v>ST Boys Hostel</v>
      </c>
      <c r="E621" s="49" t="str">
        <f t="shared" si="1215"/>
        <v>HKHDTL - 60092</v>
      </c>
      <c r="F621" s="49">
        <f t="shared" si="1215"/>
        <v>8</v>
      </c>
      <c r="G621" s="49" t="str">
        <f t="shared" si="1215"/>
        <v>GOVT</v>
      </c>
      <c r="H621" s="49" t="str">
        <f t="shared" si="1215"/>
        <v>IPDS</v>
      </c>
      <c r="I621" s="49">
        <f t="shared" si="1215"/>
        <v>5</v>
      </c>
      <c r="J621" s="49" t="str">
        <f t="shared" si="1215"/>
        <v>LT2A(I)</v>
      </c>
      <c r="K621" s="84">
        <f>HDTL60092!Q50</f>
        <v>26021</v>
      </c>
      <c r="L621" s="84">
        <f>HDTL60092!P50</f>
        <v>26343</v>
      </c>
      <c r="M621" s="84">
        <f t="shared" si="1186"/>
        <v>1</v>
      </c>
      <c r="N621" s="84">
        <f t="shared" ref="N621" si="1216">(L621-K621)*M621</f>
        <v>322</v>
      </c>
      <c r="O621" s="84">
        <f>HDTL60092!F50</f>
        <v>14133.4</v>
      </c>
      <c r="P621" s="84">
        <f>HDTL60092!E50</f>
        <v>14214</v>
      </c>
      <c r="Q621" s="84">
        <f t="shared" si="1189"/>
        <v>1</v>
      </c>
      <c r="R621" s="84">
        <f t="shared" ref="R621" si="1217">(P621-O621)*Q621</f>
        <v>80.600000000000364</v>
      </c>
      <c r="S621" s="84">
        <f>HDTL60092!K50</f>
        <v>7153.7</v>
      </c>
      <c r="T621" s="84">
        <f>HDTL60092!J50</f>
        <v>7456.1</v>
      </c>
      <c r="U621" s="84">
        <f t="shared" si="1187"/>
        <v>1</v>
      </c>
      <c r="V621" s="84">
        <f t="shared" ref="V621" si="1218">(T621-S621)*U621</f>
        <v>302.40000000000055</v>
      </c>
      <c r="W621" s="84"/>
      <c r="X621" s="84"/>
      <c r="Y621" s="85">
        <f t="shared" ref="Y621" si="1219">N621/30/I621</f>
        <v>2.1466666666666665</v>
      </c>
      <c r="Z621" s="84"/>
      <c r="AA621" s="82"/>
    </row>
    <row r="622" spans="1:27" s="40" customFormat="1" ht="39.950000000000003" hidden="1" customHeight="1" x14ac:dyDescent="0.25">
      <c r="A622" s="49">
        <v>21</v>
      </c>
      <c r="B622" s="49" t="str">
        <f t="shared" ref="B622:J622" si="1220">B621</f>
        <v>H D Kote</v>
      </c>
      <c r="C622" s="49" t="str">
        <f t="shared" si="1220"/>
        <v>HDKOTE/1714</v>
      </c>
      <c r="D622" s="49" t="str">
        <f t="shared" si="1220"/>
        <v>ST Boys Hostel</v>
      </c>
      <c r="E622" s="49" t="str">
        <f t="shared" si="1220"/>
        <v>HKHDTL - 60092</v>
      </c>
      <c r="F622" s="49">
        <f t="shared" si="1220"/>
        <v>8</v>
      </c>
      <c r="G622" s="49" t="str">
        <f t="shared" si="1220"/>
        <v>GOVT</v>
      </c>
      <c r="H622" s="49" t="str">
        <f t="shared" si="1220"/>
        <v>IPDS</v>
      </c>
      <c r="I622" s="49">
        <f t="shared" si="1220"/>
        <v>5</v>
      </c>
      <c r="J622" s="49" t="str">
        <f t="shared" si="1220"/>
        <v>LT2A(I)</v>
      </c>
      <c r="K622" s="84">
        <f>HDTL60092!Q51</f>
        <v>26343</v>
      </c>
      <c r="L622" s="84">
        <f>HDTL60092!P51</f>
        <v>26730</v>
      </c>
      <c r="M622" s="84">
        <f t="shared" si="1186"/>
        <v>1</v>
      </c>
      <c r="N622" s="84">
        <f t="shared" si="1207"/>
        <v>387</v>
      </c>
      <c r="O622" s="84">
        <f>HDTL60092!F51</f>
        <v>14214</v>
      </c>
      <c r="P622" s="84">
        <f>HDTL60092!E51</f>
        <v>14409.6</v>
      </c>
      <c r="Q622" s="84">
        <f t="shared" si="1189"/>
        <v>1</v>
      </c>
      <c r="R622" s="84">
        <f t="shared" si="1208"/>
        <v>195.60000000000036</v>
      </c>
      <c r="S622" s="84">
        <f>HDTL60092!K51</f>
        <v>7456.1</v>
      </c>
      <c r="T622" s="84">
        <f>HDTL60092!J51</f>
        <v>7647.1</v>
      </c>
      <c r="U622" s="84">
        <f t="shared" si="1187"/>
        <v>1</v>
      </c>
      <c r="V622" s="84">
        <f t="shared" si="1209"/>
        <v>191</v>
      </c>
      <c r="W622" s="84"/>
      <c r="X622" s="84"/>
      <c r="Y622" s="85">
        <f t="shared" si="1210"/>
        <v>2.58</v>
      </c>
      <c r="Z622" s="84"/>
      <c r="AA622" s="82"/>
    </row>
    <row r="623" spans="1:27" s="40" customFormat="1" ht="39.950000000000003" hidden="1" customHeight="1" x14ac:dyDescent="0.25">
      <c r="A623" s="49">
        <v>22</v>
      </c>
      <c r="B623" s="49" t="str">
        <f t="shared" si="1215"/>
        <v>H D Kote</v>
      </c>
      <c r="C623" s="49" t="str">
        <f t="shared" si="1215"/>
        <v>HDKOTE/1714</v>
      </c>
      <c r="D623" s="49" t="str">
        <f t="shared" si="1215"/>
        <v>ST Boys Hostel</v>
      </c>
      <c r="E623" s="49" t="str">
        <f t="shared" si="1215"/>
        <v>HKHDTL - 60092</v>
      </c>
      <c r="F623" s="49">
        <f t="shared" si="1215"/>
        <v>8</v>
      </c>
      <c r="G623" s="49" t="str">
        <f t="shared" si="1215"/>
        <v>GOVT</v>
      </c>
      <c r="H623" s="49" t="str">
        <f t="shared" si="1215"/>
        <v>IPDS</v>
      </c>
      <c r="I623" s="49">
        <f t="shared" si="1215"/>
        <v>5</v>
      </c>
      <c r="J623" s="49" t="str">
        <f t="shared" si="1215"/>
        <v>LT2A(I)</v>
      </c>
      <c r="K623" s="84">
        <f>HDTL60092!Q52</f>
        <v>26730</v>
      </c>
      <c r="L623" s="84">
        <f>HDTL60092!P52</f>
        <v>27216.5</v>
      </c>
      <c r="M623" s="84">
        <f t="shared" si="1186"/>
        <v>1</v>
      </c>
      <c r="N623" s="84">
        <f t="shared" si="1207"/>
        <v>486.5</v>
      </c>
      <c r="O623" s="84">
        <f>HDTL60092!F52</f>
        <v>14409.6</v>
      </c>
      <c r="P623" s="84">
        <f>HDTL60092!E52</f>
        <v>14702.4</v>
      </c>
      <c r="Q623" s="84">
        <f t="shared" si="1189"/>
        <v>1</v>
      </c>
      <c r="R623" s="84">
        <f t="shared" si="1208"/>
        <v>292.79999999999927</v>
      </c>
      <c r="S623" s="84">
        <f>HDTL60092!K52</f>
        <v>7647.1</v>
      </c>
      <c r="T623" s="84">
        <f>HDTL60092!J52</f>
        <v>8133.2</v>
      </c>
      <c r="U623" s="84">
        <f t="shared" si="1187"/>
        <v>1</v>
      </c>
      <c r="V623" s="84">
        <f t="shared" si="1209"/>
        <v>486.09999999999945</v>
      </c>
      <c r="W623" s="84"/>
      <c r="X623" s="84"/>
      <c r="Y623" s="85">
        <f t="shared" si="1210"/>
        <v>3.2433333333333332</v>
      </c>
      <c r="Z623" s="84"/>
      <c r="AA623" s="82"/>
    </row>
    <row r="624" spans="1:27" s="40" customFormat="1" ht="39.950000000000003" hidden="1" customHeight="1" x14ac:dyDescent="0.25">
      <c r="A624" s="49">
        <v>23</v>
      </c>
      <c r="B624" s="49" t="str">
        <f t="shared" si="1215"/>
        <v>H D Kote</v>
      </c>
      <c r="C624" s="49" t="str">
        <f t="shared" si="1215"/>
        <v>HDKOTE/1714</v>
      </c>
      <c r="D624" s="49" t="str">
        <f t="shared" si="1215"/>
        <v>ST Boys Hostel</v>
      </c>
      <c r="E624" s="49" t="str">
        <f t="shared" si="1215"/>
        <v>HKHDTL - 60092</v>
      </c>
      <c r="F624" s="49">
        <f t="shared" si="1215"/>
        <v>8</v>
      </c>
      <c r="G624" s="49" t="str">
        <f t="shared" si="1215"/>
        <v>GOVT</v>
      </c>
      <c r="H624" s="49" t="str">
        <f t="shared" si="1215"/>
        <v>IPDS</v>
      </c>
      <c r="I624" s="49">
        <f t="shared" si="1215"/>
        <v>5</v>
      </c>
      <c r="J624" s="49" t="str">
        <f t="shared" si="1215"/>
        <v>LT2A(I)</v>
      </c>
      <c r="K624" s="84">
        <f>HDTL60092!Q54</f>
        <v>27216.5</v>
      </c>
      <c r="L624" s="84">
        <f>HDTL60092!P54</f>
        <v>27556.5</v>
      </c>
      <c r="M624" s="84">
        <f t="shared" si="1186"/>
        <v>1</v>
      </c>
      <c r="N624" s="84">
        <f t="shared" si="1207"/>
        <v>340</v>
      </c>
      <c r="O624" s="84">
        <f>HDTL60092!F54</f>
        <v>14702.4</v>
      </c>
      <c r="P624" s="84">
        <f>HDTL60092!E54</f>
        <v>14782.4</v>
      </c>
      <c r="Q624" s="84">
        <f t="shared" si="1189"/>
        <v>1</v>
      </c>
      <c r="R624" s="84">
        <f t="shared" si="1208"/>
        <v>80</v>
      </c>
      <c r="S624" s="84">
        <f>HDTL60092!K54</f>
        <v>8133.2</v>
      </c>
      <c r="T624" s="84">
        <f>HDTL60092!J54</f>
        <v>8455.2000000000007</v>
      </c>
      <c r="U624" s="84">
        <f t="shared" si="1187"/>
        <v>1</v>
      </c>
      <c r="V624" s="84">
        <f t="shared" si="1209"/>
        <v>322.00000000000091</v>
      </c>
      <c r="W624" s="84"/>
      <c r="X624" s="84"/>
      <c r="Y624" s="85">
        <f t="shared" si="1210"/>
        <v>2.2666666666666666</v>
      </c>
      <c r="Z624" s="84"/>
      <c r="AA624" s="82"/>
    </row>
    <row r="625" spans="1:27" s="40" customFormat="1" ht="39.950000000000003" hidden="1" customHeight="1" x14ac:dyDescent="0.25">
      <c r="A625" s="49">
        <v>24</v>
      </c>
      <c r="B625" s="49" t="str">
        <f t="shared" si="1215"/>
        <v>H D Kote</v>
      </c>
      <c r="C625" s="49" t="str">
        <f t="shared" si="1215"/>
        <v>HDKOTE/1714</v>
      </c>
      <c r="D625" s="49" t="str">
        <f t="shared" si="1215"/>
        <v>ST Boys Hostel</v>
      </c>
      <c r="E625" s="49" t="str">
        <f t="shared" si="1215"/>
        <v>HKHDTL - 60092</v>
      </c>
      <c r="F625" s="49">
        <f t="shared" si="1215"/>
        <v>8</v>
      </c>
      <c r="G625" s="49" t="str">
        <f t="shared" si="1215"/>
        <v>GOVT</v>
      </c>
      <c r="H625" s="49" t="str">
        <f t="shared" si="1215"/>
        <v>IPDS</v>
      </c>
      <c r="I625" s="49">
        <f t="shared" si="1215"/>
        <v>5</v>
      </c>
      <c r="J625" s="49" t="str">
        <f t="shared" si="1215"/>
        <v>LT2A(I)</v>
      </c>
      <c r="K625" s="84">
        <f>HDTL60092!Q55</f>
        <v>27556.5</v>
      </c>
      <c r="L625" s="84">
        <f>HDTL60092!P55</f>
        <v>27897.5</v>
      </c>
      <c r="M625" s="84">
        <f t="shared" si="1186"/>
        <v>1</v>
      </c>
      <c r="N625" s="84">
        <f t="shared" ref="N625:N628" si="1221">(L625-K625)*M625</f>
        <v>341</v>
      </c>
      <c r="O625" s="84">
        <f>HDTL60092!F55</f>
        <v>14782.4</v>
      </c>
      <c r="P625" s="84">
        <f>HDTL60092!E55</f>
        <v>14863.4</v>
      </c>
      <c r="Q625" s="84">
        <f t="shared" si="1189"/>
        <v>1</v>
      </c>
      <c r="R625" s="84">
        <f t="shared" ref="R625:R628" si="1222">(P625-O625)*Q625</f>
        <v>81</v>
      </c>
      <c r="S625" s="84">
        <f>HDTL60092!K55</f>
        <v>8455.2000000000007</v>
      </c>
      <c r="T625" s="84">
        <f>HDTL60092!J55</f>
        <v>8778.2000000000007</v>
      </c>
      <c r="U625" s="84">
        <f t="shared" si="1187"/>
        <v>1</v>
      </c>
      <c r="V625" s="84">
        <f t="shared" ref="V625:V628" si="1223">(T625-S625)*U625</f>
        <v>323</v>
      </c>
      <c r="W625" s="84"/>
      <c r="X625" s="84"/>
      <c r="Y625" s="85">
        <f t="shared" ref="Y625:Y628" si="1224">N625/30/I625</f>
        <v>2.2733333333333334</v>
      </c>
      <c r="Z625" s="84"/>
      <c r="AA625" s="82"/>
    </row>
    <row r="626" spans="1:27" s="40" customFormat="1" ht="39.950000000000003" hidden="1" customHeight="1" x14ac:dyDescent="0.25">
      <c r="A626" s="49">
        <v>25</v>
      </c>
      <c r="B626" s="49" t="str">
        <f t="shared" ref="B626:J626" si="1225">B625</f>
        <v>H D Kote</v>
      </c>
      <c r="C626" s="49" t="str">
        <f t="shared" si="1225"/>
        <v>HDKOTE/1714</v>
      </c>
      <c r="D626" s="49" t="str">
        <f t="shared" si="1225"/>
        <v>ST Boys Hostel</v>
      </c>
      <c r="E626" s="49" t="str">
        <f t="shared" si="1225"/>
        <v>HKHDTL - 60092</v>
      </c>
      <c r="F626" s="49">
        <f t="shared" si="1225"/>
        <v>8</v>
      </c>
      <c r="G626" s="49" t="str">
        <f t="shared" si="1225"/>
        <v>GOVT</v>
      </c>
      <c r="H626" s="49" t="str">
        <f t="shared" si="1225"/>
        <v>IPDS</v>
      </c>
      <c r="I626" s="49">
        <f t="shared" si="1225"/>
        <v>5</v>
      </c>
      <c r="J626" s="49" t="str">
        <f t="shared" si="1225"/>
        <v>LT2A(I)</v>
      </c>
      <c r="K626" s="84">
        <f>HDTL60092!Q56</f>
        <v>27897.5</v>
      </c>
      <c r="L626" s="84">
        <f>HDTL60092!P56</f>
        <v>28236.5</v>
      </c>
      <c r="M626" s="84">
        <f t="shared" ref="M626:M632" si="1226">M592</f>
        <v>1</v>
      </c>
      <c r="N626" s="84">
        <f t="shared" si="1221"/>
        <v>339</v>
      </c>
      <c r="O626" s="84">
        <f>HDTL60092!F56</f>
        <v>14863.4</v>
      </c>
      <c r="P626" s="84">
        <f>HDTL60092!E56</f>
        <v>14942.4</v>
      </c>
      <c r="Q626" s="84">
        <f t="shared" si="1189"/>
        <v>1</v>
      </c>
      <c r="R626" s="84">
        <f t="shared" si="1222"/>
        <v>79</v>
      </c>
      <c r="S626" s="84">
        <f>HDTL60092!K56</f>
        <v>8778.2000000000007</v>
      </c>
      <c r="T626" s="84">
        <f>HDTL60092!J56</f>
        <v>9098.2000000000007</v>
      </c>
      <c r="U626" s="84">
        <f t="shared" ref="U626:U632" si="1227">U592</f>
        <v>1</v>
      </c>
      <c r="V626" s="84">
        <f t="shared" si="1223"/>
        <v>320</v>
      </c>
      <c r="W626" s="84"/>
      <c r="X626" s="84"/>
      <c r="Y626" s="85">
        <f t="shared" si="1224"/>
        <v>2.2600000000000002</v>
      </c>
      <c r="Z626" s="84"/>
      <c r="AA626" s="82"/>
    </row>
    <row r="627" spans="1:27" s="40" customFormat="1" ht="39.950000000000003" hidden="1" customHeight="1" x14ac:dyDescent="0.25">
      <c r="A627" s="49">
        <v>26</v>
      </c>
      <c r="B627" s="49" t="str">
        <f t="shared" ref="B627:J627" si="1228">B626</f>
        <v>H D Kote</v>
      </c>
      <c r="C627" s="49" t="str">
        <f t="shared" si="1228"/>
        <v>HDKOTE/1714</v>
      </c>
      <c r="D627" s="49" t="str">
        <f t="shared" si="1228"/>
        <v>ST Boys Hostel</v>
      </c>
      <c r="E627" s="49" t="str">
        <f t="shared" si="1228"/>
        <v>HKHDTL - 60092</v>
      </c>
      <c r="F627" s="49">
        <f t="shared" si="1228"/>
        <v>8</v>
      </c>
      <c r="G627" s="49" t="str">
        <f t="shared" si="1228"/>
        <v>GOVT</v>
      </c>
      <c r="H627" s="49" t="str">
        <f t="shared" si="1228"/>
        <v>IPDS</v>
      </c>
      <c r="I627" s="49">
        <f t="shared" si="1228"/>
        <v>5</v>
      </c>
      <c r="J627" s="49" t="str">
        <f t="shared" si="1228"/>
        <v>LT2A(I)</v>
      </c>
      <c r="K627" s="84">
        <f>HDTL60092!Q57</f>
        <v>28236.5</v>
      </c>
      <c r="L627" s="84">
        <f>HDTL60092!P57</f>
        <v>28575.1</v>
      </c>
      <c r="M627" s="84">
        <f t="shared" si="1226"/>
        <v>1</v>
      </c>
      <c r="N627" s="84">
        <f t="shared" si="1221"/>
        <v>338.59999999999854</v>
      </c>
      <c r="O627" s="84">
        <f>HDTL60092!F57</f>
        <v>14942.4</v>
      </c>
      <c r="P627" s="84">
        <f>HDTL60092!E57</f>
        <v>15023.7</v>
      </c>
      <c r="Q627" s="84">
        <f t="shared" si="1189"/>
        <v>1</v>
      </c>
      <c r="R627" s="84">
        <f t="shared" si="1222"/>
        <v>81.300000000001091</v>
      </c>
      <c r="S627" s="84">
        <f>HDTL60092!K57</f>
        <v>9098.2000000000007</v>
      </c>
      <c r="T627" s="84">
        <f>HDTL60092!J57</f>
        <v>9420.7999999999993</v>
      </c>
      <c r="U627" s="84">
        <f t="shared" si="1227"/>
        <v>1</v>
      </c>
      <c r="V627" s="84">
        <f t="shared" si="1223"/>
        <v>322.59999999999854</v>
      </c>
      <c r="W627" s="84"/>
      <c r="X627" s="84"/>
      <c r="Y627" s="85">
        <f t="shared" si="1224"/>
        <v>2.2573333333333236</v>
      </c>
      <c r="Z627" s="84"/>
      <c r="AA627" s="82"/>
    </row>
    <row r="628" spans="1:27" s="40" customFormat="1" ht="39.950000000000003" hidden="1" customHeight="1" x14ac:dyDescent="0.25">
      <c r="A628" s="49">
        <v>27</v>
      </c>
      <c r="B628" s="49" t="str">
        <f t="shared" ref="B628:J628" si="1229">B627</f>
        <v>H D Kote</v>
      </c>
      <c r="C628" s="49" t="str">
        <f t="shared" si="1229"/>
        <v>HDKOTE/1714</v>
      </c>
      <c r="D628" s="49" t="str">
        <f t="shared" si="1229"/>
        <v>ST Boys Hostel</v>
      </c>
      <c r="E628" s="49" t="str">
        <f t="shared" si="1229"/>
        <v>HKHDTL - 60092</v>
      </c>
      <c r="F628" s="49">
        <f t="shared" si="1229"/>
        <v>8</v>
      </c>
      <c r="G628" s="49" t="str">
        <f t="shared" si="1229"/>
        <v>GOVT</v>
      </c>
      <c r="H628" s="49" t="str">
        <f t="shared" si="1229"/>
        <v>IPDS</v>
      </c>
      <c r="I628" s="49">
        <f t="shared" si="1229"/>
        <v>5</v>
      </c>
      <c r="J628" s="49" t="str">
        <f t="shared" si="1229"/>
        <v>LT2A(I)</v>
      </c>
      <c r="K628" s="84">
        <f>HDTL60092!Q58</f>
        <v>28575.1</v>
      </c>
      <c r="L628" s="84">
        <f>HDTL60092!P58</f>
        <v>28860.3</v>
      </c>
      <c r="M628" s="84">
        <f t="shared" si="1226"/>
        <v>1</v>
      </c>
      <c r="N628" s="84">
        <f t="shared" si="1221"/>
        <v>285.20000000000073</v>
      </c>
      <c r="O628" s="84">
        <f>HDTL60092!F58</f>
        <v>15023.7</v>
      </c>
      <c r="P628" s="84">
        <f>HDTL60092!E58</f>
        <v>15053.9</v>
      </c>
      <c r="Q628" s="84">
        <f t="shared" si="1189"/>
        <v>1</v>
      </c>
      <c r="R628" s="84">
        <f t="shared" si="1222"/>
        <v>30.199999999998909</v>
      </c>
      <c r="S628" s="84">
        <f>HDTL60092!K58</f>
        <v>9420.7999999999993</v>
      </c>
      <c r="T628" s="84">
        <f>HDTL60092!J58</f>
        <v>9679.7000000000007</v>
      </c>
      <c r="U628" s="84">
        <f t="shared" si="1227"/>
        <v>1</v>
      </c>
      <c r="V628" s="84">
        <f t="shared" si="1223"/>
        <v>258.90000000000146</v>
      </c>
      <c r="W628" s="84"/>
      <c r="X628" s="84"/>
      <c r="Y628" s="85">
        <f t="shared" si="1224"/>
        <v>1.9013333333333382</v>
      </c>
      <c r="Z628" s="84"/>
      <c r="AA628" s="82"/>
    </row>
    <row r="629" spans="1:27" s="40" customFormat="1" ht="39.950000000000003" hidden="1" customHeight="1" x14ac:dyDescent="0.25">
      <c r="A629" s="49">
        <v>28</v>
      </c>
      <c r="B629" s="49" t="str">
        <f t="shared" ref="B629:J631" si="1230">B628</f>
        <v>H D Kote</v>
      </c>
      <c r="C629" s="49" t="str">
        <f t="shared" si="1230"/>
        <v>HDKOTE/1714</v>
      </c>
      <c r="D629" s="49" t="str">
        <f t="shared" si="1230"/>
        <v>ST Boys Hostel</v>
      </c>
      <c r="E629" s="49" t="str">
        <f t="shared" si="1230"/>
        <v>HKHDTL - 60092</v>
      </c>
      <c r="F629" s="49">
        <f t="shared" si="1230"/>
        <v>8</v>
      </c>
      <c r="G629" s="49" t="str">
        <f t="shared" si="1230"/>
        <v>GOVT</v>
      </c>
      <c r="H629" s="49" t="str">
        <f t="shared" si="1230"/>
        <v>IPDS</v>
      </c>
      <c r="I629" s="49">
        <f t="shared" si="1230"/>
        <v>5</v>
      </c>
      <c r="J629" s="49" t="str">
        <f t="shared" si="1230"/>
        <v>LT2A(I)</v>
      </c>
      <c r="K629" s="84">
        <f>HDTL60092!Q59</f>
        <v>28860.3</v>
      </c>
      <c r="L629" s="84">
        <f>HDTL60092!P59</f>
        <v>29216</v>
      </c>
      <c r="M629" s="84">
        <f t="shared" si="1226"/>
        <v>1</v>
      </c>
      <c r="N629" s="84">
        <f t="shared" ref="N629:N632" si="1231">(L629-K629)*M629</f>
        <v>355.70000000000073</v>
      </c>
      <c r="O629" s="84">
        <f>HDTL60092!F59</f>
        <v>15053.9</v>
      </c>
      <c r="P629" s="84">
        <f>HDTL60092!E59</f>
        <v>15200.5</v>
      </c>
      <c r="Q629" s="84">
        <f t="shared" si="1189"/>
        <v>1</v>
      </c>
      <c r="R629" s="84">
        <f t="shared" ref="R629:R632" si="1232">(P629-O629)*Q629</f>
        <v>146.60000000000036</v>
      </c>
      <c r="S629" s="84">
        <f>HDTL60092!K59</f>
        <v>9679.7000000000007</v>
      </c>
      <c r="T629" s="84">
        <f>HDTL60092!J59</f>
        <v>9992.2000000000007</v>
      </c>
      <c r="U629" s="84">
        <f t="shared" si="1227"/>
        <v>1</v>
      </c>
      <c r="V629" s="84">
        <f t="shared" ref="V629:V632" si="1233">(T629-S629)*U629</f>
        <v>312.5</v>
      </c>
      <c r="W629" s="84">
        <f>HDTL60092!U59</f>
        <v>3.12</v>
      </c>
      <c r="X629" s="84">
        <f>HDTL60092!V59</f>
        <v>0.91</v>
      </c>
      <c r="Y629" s="85">
        <f t="shared" ref="Y629:Y632" si="1234">N629/30/I629</f>
        <v>2.3713333333333382</v>
      </c>
      <c r="Z629" s="84"/>
      <c r="AA629" s="82"/>
    </row>
    <row r="630" spans="1:27" s="40" customFormat="1" ht="39.950000000000003" hidden="1" customHeight="1" x14ac:dyDescent="0.25">
      <c r="A630" s="49">
        <v>29</v>
      </c>
      <c r="B630" s="49" t="str">
        <f t="shared" ref="B630:J630" si="1235">B629</f>
        <v>H D Kote</v>
      </c>
      <c r="C630" s="49" t="str">
        <f t="shared" si="1235"/>
        <v>HDKOTE/1714</v>
      </c>
      <c r="D630" s="49" t="str">
        <f t="shared" si="1235"/>
        <v>ST Boys Hostel</v>
      </c>
      <c r="E630" s="49" t="str">
        <f t="shared" si="1235"/>
        <v>HKHDTL - 60092</v>
      </c>
      <c r="F630" s="49">
        <f t="shared" si="1235"/>
        <v>8</v>
      </c>
      <c r="G630" s="49" t="str">
        <f t="shared" si="1235"/>
        <v>GOVT</v>
      </c>
      <c r="H630" s="49" t="str">
        <f t="shared" si="1235"/>
        <v>IPDS</v>
      </c>
      <c r="I630" s="49">
        <f t="shared" si="1235"/>
        <v>5</v>
      </c>
      <c r="J630" s="49" t="str">
        <f t="shared" si="1235"/>
        <v>LT2A(I)</v>
      </c>
      <c r="K630" s="84">
        <f>HDTL60092!Q60</f>
        <v>29216</v>
      </c>
      <c r="L630" s="84">
        <f>HDTL60092!P60</f>
        <v>29336.400000000001</v>
      </c>
      <c r="M630" s="84">
        <f t="shared" si="1226"/>
        <v>1</v>
      </c>
      <c r="N630" s="84">
        <f t="shared" si="1231"/>
        <v>120.40000000000146</v>
      </c>
      <c r="O630" s="84">
        <f>HDTL60092!F60</f>
        <v>15200.5</v>
      </c>
      <c r="P630" s="84">
        <f>HDTL60092!E60</f>
        <v>15446.2</v>
      </c>
      <c r="Q630" s="84">
        <f t="shared" si="1189"/>
        <v>1</v>
      </c>
      <c r="R630" s="84">
        <f t="shared" si="1232"/>
        <v>245.70000000000073</v>
      </c>
      <c r="S630" s="84">
        <f>HDTL60092!K60</f>
        <v>9992.2000000000007</v>
      </c>
      <c r="T630" s="84">
        <f>HDTL60092!J60</f>
        <v>10107.1</v>
      </c>
      <c r="U630" s="84">
        <f t="shared" si="1227"/>
        <v>1</v>
      </c>
      <c r="V630" s="84">
        <f t="shared" si="1233"/>
        <v>114.89999999999964</v>
      </c>
      <c r="W630" s="84">
        <f>HDTL60092!U60</f>
        <v>3.2</v>
      </c>
      <c r="X630" s="84">
        <f>HDTL60092!V60</f>
        <v>0.97299999999999998</v>
      </c>
      <c r="Y630" s="85">
        <f t="shared" si="1234"/>
        <v>0.8026666666666763</v>
      </c>
      <c r="Z630" s="84"/>
      <c r="AA630" s="82"/>
    </row>
    <row r="631" spans="1:27" s="40" customFormat="1" ht="39.950000000000003" customHeight="1" x14ac:dyDescent="0.25">
      <c r="A631" s="49">
        <v>30</v>
      </c>
      <c r="B631" s="49" t="str">
        <f t="shared" si="1230"/>
        <v>H D Kote</v>
      </c>
      <c r="C631" s="49" t="str">
        <f t="shared" si="1230"/>
        <v>HDKOTE/1714</v>
      </c>
      <c r="D631" s="49" t="str">
        <f t="shared" si="1230"/>
        <v>ST Boys Hostel</v>
      </c>
      <c r="E631" s="49" t="str">
        <f t="shared" si="1230"/>
        <v>HKHDTL - 60092</v>
      </c>
      <c r="F631" s="49">
        <f t="shared" si="1230"/>
        <v>8</v>
      </c>
      <c r="G631" s="49" t="str">
        <f t="shared" si="1230"/>
        <v>GOVT</v>
      </c>
      <c r="H631" s="49" t="str">
        <f t="shared" si="1230"/>
        <v>IPDS</v>
      </c>
      <c r="I631" s="49">
        <f t="shared" si="1230"/>
        <v>5</v>
      </c>
      <c r="J631" s="49" t="str">
        <f t="shared" si="1230"/>
        <v>LT2A(I)</v>
      </c>
      <c r="K631" s="84">
        <f>HDTL60092!Q61</f>
        <v>29336.400000000001</v>
      </c>
      <c r="L631" s="84">
        <f>HDTL60092!P61</f>
        <v>29357</v>
      </c>
      <c r="M631" s="84">
        <f t="shared" si="1226"/>
        <v>1</v>
      </c>
      <c r="N631" s="84">
        <f t="shared" ref="N631" si="1236">(L631-K631)*M631</f>
        <v>20.599999999998545</v>
      </c>
      <c r="O631" s="84">
        <f>HDTL60092!F61</f>
        <v>15446.2</v>
      </c>
      <c r="P631" s="84">
        <f>HDTL60092!E61</f>
        <v>15723.2</v>
      </c>
      <c r="Q631" s="84">
        <f t="shared" si="1189"/>
        <v>1</v>
      </c>
      <c r="R631" s="84">
        <f t="shared" ref="R631" si="1237">(P631-O631)*Q631</f>
        <v>277</v>
      </c>
      <c r="S631" s="84">
        <f>HDTL60092!K61</f>
        <v>10107.1</v>
      </c>
      <c r="T631" s="84">
        <f>HDTL60092!J61</f>
        <v>10107.1</v>
      </c>
      <c r="U631" s="84">
        <f t="shared" si="1227"/>
        <v>1</v>
      </c>
      <c r="V631" s="84">
        <f t="shared" ref="V631" si="1238">(T631-S631)*U631</f>
        <v>0</v>
      </c>
      <c r="W631" s="84">
        <f>HDTL60092!U61</f>
        <v>0</v>
      </c>
      <c r="X631" s="84">
        <f>HDTL60092!V61</f>
        <v>0.98</v>
      </c>
      <c r="Y631" s="85">
        <f t="shared" si="1234"/>
        <v>0.13733333333332362</v>
      </c>
      <c r="Z631" s="84"/>
      <c r="AA631" s="82"/>
    </row>
    <row r="632" spans="1:27" s="40" customFormat="1" ht="39.950000000000003" hidden="1" customHeight="1" x14ac:dyDescent="0.25">
      <c r="A632" s="49">
        <v>31</v>
      </c>
      <c r="B632" s="49" t="str">
        <f t="shared" ref="B632:J632" si="1239">B631</f>
        <v>H D Kote</v>
      </c>
      <c r="C632" s="49" t="str">
        <f t="shared" si="1239"/>
        <v>HDKOTE/1714</v>
      </c>
      <c r="D632" s="49" t="str">
        <f t="shared" si="1239"/>
        <v>ST Boys Hostel</v>
      </c>
      <c r="E632" s="49" t="str">
        <f t="shared" si="1239"/>
        <v>HKHDTL - 60092</v>
      </c>
      <c r="F632" s="49">
        <f t="shared" si="1239"/>
        <v>8</v>
      </c>
      <c r="G632" s="49" t="str">
        <f t="shared" si="1239"/>
        <v>GOVT</v>
      </c>
      <c r="H632" s="49" t="str">
        <f t="shared" si="1239"/>
        <v>IPDS</v>
      </c>
      <c r="I632" s="49">
        <f t="shared" si="1239"/>
        <v>5</v>
      </c>
      <c r="J632" s="49" t="str">
        <f t="shared" si="1239"/>
        <v>LT2A(I)</v>
      </c>
      <c r="K632" s="84">
        <f>HDTL60092!Q62</f>
        <v>29357</v>
      </c>
      <c r="L632" s="84">
        <f>HDTL60092!P62</f>
        <v>29358</v>
      </c>
      <c r="M632" s="84">
        <f t="shared" si="1226"/>
        <v>1</v>
      </c>
      <c r="N632" s="84">
        <f t="shared" si="1231"/>
        <v>1</v>
      </c>
      <c r="O632" s="84">
        <f>HDTL60092!F62</f>
        <v>15723.2</v>
      </c>
      <c r="P632" s="84">
        <f>HDTL60092!E62</f>
        <v>16137.4</v>
      </c>
      <c r="Q632" s="84">
        <f t="shared" si="1189"/>
        <v>1</v>
      </c>
      <c r="R632" s="84">
        <f t="shared" si="1232"/>
        <v>414.19999999999891</v>
      </c>
      <c r="S632" s="84">
        <f>HDTL60092!K62</f>
        <v>10107.1</v>
      </c>
      <c r="T632" s="84">
        <f>HDTL60092!J62</f>
        <v>10107.1</v>
      </c>
      <c r="U632" s="84">
        <f t="shared" si="1227"/>
        <v>1</v>
      </c>
      <c r="V632" s="84">
        <f t="shared" si="1233"/>
        <v>0</v>
      </c>
      <c r="W632" s="84"/>
      <c r="X632" s="84"/>
      <c r="Y632" s="85">
        <f t="shared" si="1234"/>
        <v>6.6666666666666662E-3</v>
      </c>
      <c r="Z632" s="84"/>
      <c r="AA632" s="82"/>
    </row>
    <row r="633" spans="1:27" s="40" customFormat="1" ht="39.950000000000003" hidden="1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5"/>
      <c r="Z633" s="84"/>
      <c r="AA633" s="82"/>
    </row>
    <row r="634" spans="1:27" s="40" customFormat="1" ht="39.950000000000003" hidden="1" customHeight="1" x14ac:dyDescent="0.25">
      <c r="A634" s="49"/>
      <c r="B634" s="49" t="s">
        <v>99</v>
      </c>
      <c r="C634" s="57" t="s">
        <v>235</v>
      </c>
      <c r="D634" s="59" t="s">
        <v>49</v>
      </c>
      <c r="E634" s="55" t="s">
        <v>50</v>
      </c>
      <c r="F634" s="50">
        <v>84</v>
      </c>
      <c r="G634" s="49" t="s">
        <v>101</v>
      </c>
      <c r="H634" s="53"/>
      <c r="I634" s="49" t="s">
        <v>236</v>
      </c>
      <c r="J634" s="49" t="s">
        <v>237</v>
      </c>
      <c r="K634" s="84">
        <f>HHDHT88!Q26</f>
        <v>78.2</v>
      </c>
      <c r="L634" s="84">
        <f>HHDHT88!P26</f>
        <v>80.900000000000006</v>
      </c>
      <c r="M634" s="84">
        <f>'[1]April-18'!M33</f>
        <v>500</v>
      </c>
      <c r="N634" s="84">
        <f t="shared" si="0"/>
        <v>1350.0000000000014</v>
      </c>
      <c r="O634" s="84">
        <f>HHDHT88!F26</f>
        <v>127.5</v>
      </c>
      <c r="P634" s="84">
        <f>HHDHT88!E26</f>
        <v>132.4</v>
      </c>
      <c r="Q634" s="84">
        <v>500</v>
      </c>
      <c r="R634" s="84">
        <f t="shared" si="1190"/>
        <v>2450.0000000000027</v>
      </c>
      <c r="S634" s="84">
        <f>HHDHT88!K26</f>
        <v>78.2</v>
      </c>
      <c r="T634" s="84">
        <f>HHDHT88!J26</f>
        <v>80.900000000000006</v>
      </c>
      <c r="U634" s="84">
        <f>'[1]April-18'!U33</f>
        <v>500</v>
      </c>
      <c r="V634" s="84">
        <f t="shared" si="1191"/>
        <v>1350.0000000000014</v>
      </c>
      <c r="W634" s="84"/>
      <c r="X634" s="84"/>
      <c r="Y634" s="85">
        <f t="shared" ref="Y634:Y637" si="1240">N634/73/30</f>
        <v>0.61643835616438414</v>
      </c>
      <c r="Z634" s="84"/>
      <c r="AA634" s="82" t="str">
        <f>HHDHT88!B26</f>
        <v>01.07.2019</v>
      </c>
    </row>
    <row r="635" spans="1:27" ht="39.950000000000003" hidden="1" customHeight="1" x14ac:dyDescent="0.25">
      <c r="A635" s="49">
        <v>1</v>
      </c>
      <c r="B635" s="49" t="str">
        <f t="shared" ref="B635:J641" si="1241">B634</f>
        <v>Alanahalli</v>
      </c>
      <c r="C635" s="49" t="str">
        <f t="shared" si="1241"/>
        <v>Alanahalli/ 11H5</v>
      </c>
      <c r="D635" s="59" t="str">
        <f t="shared" si="1241"/>
        <v>KB Kashinath, Sapthagiri Farms,Alanahalli Village, HD Kote Tq.</v>
      </c>
      <c r="E635" s="49" t="str">
        <f t="shared" si="1241"/>
        <v>HHDHT88</v>
      </c>
      <c r="F635" s="49">
        <f t="shared" si="1241"/>
        <v>84</v>
      </c>
      <c r="G635" s="49" t="str">
        <f t="shared" si="1241"/>
        <v>Private</v>
      </c>
      <c r="H635" s="49">
        <f t="shared" si="1241"/>
        <v>0</v>
      </c>
      <c r="I635" s="49" t="str">
        <f t="shared" si="1241"/>
        <v>73KW</v>
      </c>
      <c r="J635" s="49" t="str">
        <f t="shared" si="1241"/>
        <v>HT2A(II)</v>
      </c>
      <c r="K635" s="84">
        <f>HHDHT88!Q27</f>
        <v>80.900000000000006</v>
      </c>
      <c r="L635" s="84">
        <f>HHDHT88!P27</f>
        <v>82.9</v>
      </c>
      <c r="M635" s="84">
        <f>M634</f>
        <v>500</v>
      </c>
      <c r="N635" s="84">
        <f t="shared" ref="N635:N641" si="1242">(L635-K635)*M635</f>
        <v>1000</v>
      </c>
      <c r="O635" s="84">
        <f>HHDHT88!F27</f>
        <v>132.4</v>
      </c>
      <c r="P635" s="84">
        <f>HHDHT88!E27</f>
        <v>138.6</v>
      </c>
      <c r="Q635" s="84">
        <f>Q634</f>
        <v>500</v>
      </c>
      <c r="R635" s="84">
        <f t="shared" si="1190"/>
        <v>3099.9999999999945</v>
      </c>
      <c r="S635" s="84">
        <f>HHDHT88!K27</f>
        <v>80.900000000000006</v>
      </c>
      <c r="T635" s="84">
        <f>HHDHT88!J27</f>
        <v>82.9</v>
      </c>
      <c r="U635" s="84">
        <f>U634</f>
        <v>500</v>
      </c>
      <c r="V635" s="84">
        <f t="shared" si="1191"/>
        <v>1000</v>
      </c>
      <c r="W635" s="84"/>
      <c r="X635" s="84"/>
      <c r="Y635" s="85">
        <f t="shared" si="1240"/>
        <v>0.45662100456621002</v>
      </c>
      <c r="Z635" s="20"/>
      <c r="AA635" s="82" t="str">
        <f>HHDHT88!B27</f>
        <v>01.08.2019</v>
      </c>
    </row>
    <row r="636" spans="1:27" ht="39.950000000000003" hidden="1" customHeight="1" x14ac:dyDescent="0.25">
      <c r="A636" s="49">
        <v>2</v>
      </c>
      <c r="B636" s="49" t="str">
        <f t="shared" si="1241"/>
        <v>Alanahalli</v>
      </c>
      <c r="C636" s="49" t="str">
        <f t="shared" si="1241"/>
        <v>Alanahalli/ 11H5</v>
      </c>
      <c r="D636" s="59" t="str">
        <f t="shared" si="1241"/>
        <v>KB Kashinath, Sapthagiri Farms,Alanahalli Village, HD Kote Tq.</v>
      </c>
      <c r="E636" s="49" t="str">
        <f t="shared" si="1241"/>
        <v>HHDHT88</v>
      </c>
      <c r="F636" s="49">
        <f t="shared" si="1241"/>
        <v>84</v>
      </c>
      <c r="G636" s="49" t="str">
        <f t="shared" si="1241"/>
        <v>Private</v>
      </c>
      <c r="H636" s="49"/>
      <c r="I636" s="49" t="str">
        <f>I635</f>
        <v>73KW</v>
      </c>
      <c r="J636" s="49" t="str">
        <f>J635</f>
        <v>HT2A(II)</v>
      </c>
      <c r="K636" s="84">
        <f>HHDHT88!Q28</f>
        <v>82.9</v>
      </c>
      <c r="L636" s="84">
        <f>HHDHT88!P28</f>
        <v>84.6</v>
      </c>
      <c r="M636" s="84">
        <f>M635</f>
        <v>500</v>
      </c>
      <c r="N636" s="84">
        <f t="shared" si="1242"/>
        <v>849.99999999999432</v>
      </c>
      <c r="O636" s="84">
        <f>HHDHT88!F28</f>
        <v>138.6</v>
      </c>
      <c r="P636" s="84">
        <f>HHDHT88!E28</f>
        <v>143.9</v>
      </c>
      <c r="Q636" s="84">
        <f>Q635</f>
        <v>500</v>
      </c>
      <c r="R636" s="84">
        <f t="shared" si="1190"/>
        <v>2650.0000000000055</v>
      </c>
      <c r="S636" s="84">
        <f>HHDHT88!K28</f>
        <v>82.9</v>
      </c>
      <c r="T636" s="84">
        <f>HHDHT88!J28</f>
        <v>84.6</v>
      </c>
      <c r="U636" s="84">
        <f>U635</f>
        <v>500</v>
      </c>
      <c r="V636" s="84">
        <f t="shared" si="1191"/>
        <v>849.99999999999432</v>
      </c>
      <c r="W636" s="84"/>
      <c r="X636" s="84"/>
      <c r="Y636" s="85">
        <f t="shared" si="1240"/>
        <v>0.38812785388127591</v>
      </c>
      <c r="Z636" s="20"/>
      <c r="AA636" s="82" t="str">
        <f>HHDHT88!B28</f>
        <v>01.09.2019</v>
      </c>
    </row>
    <row r="637" spans="1:27" ht="39.950000000000003" hidden="1" customHeight="1" x14ac:dyDescent="0.25">
      <c r="A637" s="49">
        <v>3</v>
      </c>
      <c r="B637" s="49" t="str">
        <f>B636</f>
        <v>Alanahalli</v>
      </c>
      <c r="C637" s="49" t="str">
        <f t="shared" si="1241"/>
        <v>Alanahalli/ 11H5</v>
      </c>
      <c r="D637" s="49" t="str">
        <f t="shared" si="1241"/>
        <v>KB Kashinath, Sapthagiri Farms,Alanahalli Village, HD Kote Tq.</v>
      </c>
      <c r="E637" s="49" t="str">
        <f t="shared" si="1241"/>
        <v>HHDHT88</v>
      </c>
      <c r="F637" s="49">
        <f t="shared" si="1241"/>
        <v>84</v>
      </c>
      <c r="G637" s="49" t="str">
        <f t="shared" si="1241"/>
        <v>Private</v>
      </c>
      <c r="H637" s="49"/>
      <c r="I637" s="49" t="str">
        <f t="shared" si="1241"/>
        <v>73KW</v>
      </c>
      <c r="J637" s="49" t="str">
        <f t="shared" si="1241"/>
        <v>HT2A(II)</v>
      </c>
      <c r="K637" s="84">
        <f>HHDHT88!Q29</f>
        <v>84.6</v>
      </c>
      <c r="L637" s="84">
        <f>HHDHT88!P29</f>
        <v>86.6</v>
      </c>
      <c r="M637" s="84">
        <f>M636</f>
        <v>500</v>
      </c>
      <c r="N637" s="84">
        <f t="shared" si="1242"/>
        <v>1000</v>
      </c>
      <c r="O637" s="84">
        <f>HHDHT88!F29</f>
        <v>143.9</v>
      </c>
      <c r="P637" s="84">
        <f>HHDHT88!E29</f>
        <v>148.4</v>
      </c>
      <c r="Q637" s="84">
        <f>Q636</f>
        <v>500</v>
      </c>
      <c r="R637" s="84">
        <f t="shared" si="1190"/>
        <v>2250</v>
      </c>
      <c r="S637" s="84">
        <f>HHDHT88!K29</f>
        <v>84.6</v>
      </c>
      <c r="T637" s="84">
        <f>HHDHT88!J29</f>
        <v>86.6</v>
      </c>
      <c r="U637" s="84">
        <f>U636</f>
        <v>500</v>
      </c>
      <c r="V637" s="84">
        <f t="shared" si="1191"/>
        <v>1000</v>
      </c>
      <c r="W637" s="84"/>
      <c r="X637" s="84"/>
      <c r="Y637" s="85">
        <f t="shared" si="1240"/>
        <v>0.45662100456621002</v>
      </c>
      <c r="Z637" s="20"/>
      <c r="AA637" s="82" t="str">
        <f>HHDHT88!B29</f>
        <v>01.10.2019</v>
      </c>
    </row>
    <row r="638" spans="1:27" ht="32.25" hidden="1" customHeight="1" x14ac:dyDescent="0.25">
      <c r="A638" s="49">
        <v>4</v>
      </c>
      <c r="B638" s="49" t="str">
        <f t="shared" ref="B638:G641" si="1243">B637</f>
        <v>Alanahalli</v>
      </c>
      <c r="C638" s="49" t="str">
        <f t="shared" si="1243"/>
        <v>Alanahalli/ 11H5</v>
      </c>
      <c r="D638" s="49" t="str">
        <f t="shared" si="1243"/>
        <v>KB Kashinath, Sapthagiri Farms,Alanahalli Village, HD Kote Tq.</v>
      </c>
      <c r="E638" s="49" t="str">
        <f t="shared" si="1243"/>
        <v>HHDHT88</v>
      </c>
      <c r="F638" s="49">
        <f t="shared" si="1243"/>
        <v>84</v>
      </c>
      <c r="G638" s="49" t="str">
        <f t="shared" si="1243"/>
        <v>Private</v>
      </c>
      <c r="H638" s="49"/>
      <c r="I638" s="49" t="str">
        <f t="shared" si="1241"/>
        <v>73KW</v>
      </c>
      <c r="J638" s="49" t="str">
        <f t="shared" si="1241"/>
        <v>HT2A(II)</v>
      </c>
      <c r="K638" s="84">
        <f>HHDHT88!Q30</f>
        <v>86.6</v>
      </c>
      <c r="L638" s="84">
        <f>HHDHT88!P30</f>
        <v>90.1</v>
      </c>
      <c r="M638" s="84">
        <f t="shared" ref="M638:M665" si="1244">M637</f>
        <v>500</v>
      </c>
      <c r="N638" s="84">
        <f t="shared" si="1242"/>
        <v>1750</v>
      </c>
      <c r="O638" s="84">
        <f>HHDHT88!F30</f>
        <v>148.4</v>
      </c>
      <c r="P638" s="84">
        <f>HHDHT88!E30</f>
        <v>152.80000000000001</v>
      </c>
      <c r="Q638" s="84">
        <f t="shared" ref="Q638:Q665" si="1245">Q637</f>
        <v>500</v>
      </c>
      <c r="R638" s="84">
        <f t="shared" si="1190"/>
        <v>2200.0000000000027</v>
      </c>
      <c r="S638" s="84">
        <f>HHDHT88!K30</f>
        <v>86.6</v>
      </c>
      <c r="T638" s="84">
        <f>HHDHT88!J30</f>
        <v>90.1</v>
      </c>
      <c r="U638" s="84">
        <f t="shared" ref="U638:U665" si="1246">U637</f>
        <v>500</v>
      </c>
      <c r="V638" s="84">
        <f t="shared" si="1191"/>
        <v>1750</v>
      </c>
      <c r="W638" s="84"/>
      <c r="X638" s="84"/>
      <c r="Y638" s="85">
        <f>N638/73/30</f>
        <v>0.79908675799086759</v>
      </c>
      <c r="Z638" s="20"/>
      <c r="AA638" s="82" t="str">
        <f>HHDHT88!B30</f>
        <v>01.11.2019</v>
      </c>
    </row>
    <row r="639" spans="1:27" hidden="1" x14ac:dyDescent="0.25">
      <c r="A639" s="49">
        <v>5</v>
      </c>
      <c r="B639" s="49" t="str">
        <f t="shared" si="1243"/>
        <v>Alanahalli</v>
      </c>
      <c r="C639" s="49" t="str">
        <f t="shared" si="1243"/>
        <v>Alanahalli/ 11H5</v>
      </c>
      <c r="D639" s="49" t="str">
        <f t="shared" si="1243"/>
        <v>KB Kashinath, Sapthagiri Farms,Alanahalli Village, HD Kote Tq.</v>
      </c>
      <c r="E639" s="49" t="str">
        <f t="shared" si="1243"/>
        <v>HHDHT88</v>
      </c>
      <c r="F639" s="49">
        <f t="shared" si="1243"/>
        <v>84</v>
      </c>
      <c r="G639" s="49" t="str">
        <f t="shared" si="1243"/>
        <v>Private</v>
      </c>
      <c r="H639" s="49"/>
      <c r="I639" s="49" t="str">
        <f t="shared" si="1241"/>
        <v>73KW</v>
      </c>
      <c r="J639" s="49" t="str">
        <f t="shared" si="1241"/>
        <v>HT2A(II)</v>
      </c>
      <c r="K639" s="84">
        <f>HHDHT88!Q31</f>
        <v>90.1</v>
      </c>
      <c r="L639" s="84">
        <f>HHDHT88!P31</f>
        <v>92.2</v>
      </c>
      <c r="M639" s="84">
        <f t="shared" si="1244"/>
        <v>500</v>
      </c>
      <c r="N639" s="84">
        <f t="shared" si="1242"/>
        <v>1050.0000000000043</v>
      </c>
      <c r="O639" s="84">
        <f>HHDHT88!F31</f>
        <v>152.80000000000001</v>
      </c>
      <c r="P639" s="84">
        <f>HHDHT88!E31</f>
        <v>158</v>
      </c>
      <c r="Q639" s="84">
        <f t="shared" si="1245"/>
        <v>500</v>
      </c>
      <c r="R639" s="84">
        <f t="shared" si="1190"/>
        <v>2599.9999999999945</v>
      </c>
      <c r="S639" s="84">
        <f>HHDHT88!K31</f>
        <v>90.1</v>
      </c>
      <c r="T639" s="84">
        <f>HHDHT88!J31</f>
        <v>92.2</v>
      </c>
      <c r="U639" s="84">
        <f t="shared" si="1246"/>
        <v>500</v>
      </c>
      <c r="V639" s="84">
        <f t="shared" si="1191"/>
        <v>1050.0000000000043</v>
      </c>
      <c r="W639" s="84"/>
      <c r="X639" s="84"/>
      <c r="Y639" s="85">
        <f>N639/73/30</f>
        <v>0.47945205479452252</v>
      </c>
      <c r="Z639" s="8"/>
      <c r="AA639" s="82" t="str">
        <f>HHDHT88!B31</f>
        <v>01.12.2019</v>
      </c>
    </row>
    <row r="640" spans="1:27" hidden="1" x14ac:dyDescent="0.25">
      <c r="A640" s="49">
        <v>6</v>
      </c>
      <c r="B640" s="49" t="str">
        <f t="shared" si="1243"/>
        <v>Alanahalli</v>
      </c>
      <c r="C640" s="49" t="str">
        <f t="shared" si="1243"/>
        <v>Alanahalli/ 11H5</v>
      </c>
      <c r="D640" s="49" t="str">
        <f t="shared" si="1243"/>
        <v>KB Kashinath, Sapthagiri Farms,Alanahalli Village, HD Kote Tq.</v>
      </c>
      <c r="E640" s="49" t="str">
        <f t="shared" si="1243"/>
        <v>HHDHT88</v>
      </c>
      <c r="F640" s="49">
        <f t="shared" si="1243"/>
        <v>84</v>
      </c>
      <c r="G640" s="49" t="str">
        <f t="shared" si="1243"/>
        <v>Private</v>
      </c>
      <c r="H640" s="49"/>
      <c r="I640" s="49" t="str">
        <f t="shared" si="1241"/>
        <v>73KW</v>
      </c>
      <c r="J640" s="49" t="str">
        <f t="shared" si="1241"/>
        <v>HT2A(II)</v>
      </c>
      <c r="K640" s="84">
        <f>HHDHT88!Q32</f>
        <v>92.2</v>
      </c>
      <c r="L640" s="84">
        <f>HHDHT88!P32</f>
        <v>95.5</v>
      </c>
      <c r="M640" s="84">
        <f t="shared" si="1244"/>
        <v>500</v>
      </c>
      <c r="N640" s="84">
        <f t="shared" si="1242"/>
        <v>1649.9999999999986</v>
      </c>
      <c r="O640" s="84">
        <f>HHDHT88!F32</f>
        <v>158</v>
      </c>
      <c r="P640" s="84">
        <f>HHDHT88!E32</f>
        <v>162.4</v>
      </c>
      <c r="Q640" s="84">
        <f t="shared" si="1245"/>
        <v>500</v>
      </c>
      <c r="R640" s="84">
        <f t="shared" si="1190"/>
        <v>2200.0000000000027</v>
      </c>
      <c r="S640" s="84">
        <f>HHDHT88!K32</f>
        <v>92.2</v>
      </c>
      <c r="T640" s="84">
        <f>HHDHT88!J32</f>
        <v>95.5</v>
      </c>
      <c r="U640" s="84">
        <f t="shared" si="1246"/>
        <v>500</v>
      </c>
      <c r="V640" s="84">
        <f t="shared" si="1191"/>
        <v>1649.9999999999986</v>
      </c>
      <c r="W640" s="84"/>
      <c r="X640" s="84"/>
      <c r="Y640" s="85">
        <f>N640/73/30</f>
        <v>0.75342465753424603</v>
      </c>
      <c r="Z640" s="8"/>
      <c r="AA640" s="82" t="str">
        <f>HHDHT88!B32</f>
        <v>01.01.2020</v>
      </c>
    </row>
    <row r="641" spans="1:27" hidden="1" x14ac:dyDescent="0.25">
      <c r="A641" s="49">
        <v>7</v>
      </c>
      <c r="B641" s="49" t="str">
        <f t="shared" si="1243"/>
        <v>Alanahalli</v>
      </c>
      <c r="C641" s="49" t="str">
        <f t="shared" si="1243"/>
        <v>Alanahalli/ 11H5</v>
      </c>
      <c r="D641" s="49" t="str">
        <f t="shared" si="1243"/>
        <v>KB Kashinath, Sapthagiri Farms,Alanahalli Village, HD Kote Tq.</v>
      </c>
      <c r="E641" s="49" t="str">
        <f t="shared" si="1243"/>
        <v>HHDHT88</v>
      </c>
      <c r="F641" s="49">
        <f t="shared" si="1243"/>
        <v>84</v>
      </c>
      <c r="G641" s="49" t="str">
        <f t="shared" si="1243"/>
        <v>Private</v>
      </c>
      <c r="H641" s="49"/>
      <c r="I641" s="49" t="str">
        <f t="shared" si="1241"/>
        <v>73KW</v>
      </c>
      <c r="J641" s="49" t="str">
        <f t="shared" si="1241"/>
        <v>HT2A(II)</v>
      </c>
      <c r="K641" s="84">
        <f>HHDHT88!Q33</f>
        <v>95.5</v>
      </c>
      <c r="L641" s="84">
        <f>HHDHT88!P33</f>
        <v>104.9</v>
      </c>
      <c r="M641" s="84">
        <f t="shared" si="1244"/>
        <v>500</v>
      </c>
      <c r="N641" s="84">
        <f t="shared" si="1242"/>
        <v>4700.0000000000027</v>
      </c>
      <c r="O641" s="84">
        <f>HHDHT88!F33</f>
        <v>162.4</v>
      </c>
      <c r="P641" s="84">
        <f>HHDHT88!E33</f>
        <v>165.8</v>
      </c>
      <c r="Q641" s="84">
        <f t="shared" si="1245"/>
        <v>500</v>
      </c>
      <c r="R641" s="84">
        <f t="shared" si="1190"/>
        <v>1700.0000000000027</v>
      </c>
      <c r="S641" s="84">
        <f>HHDHT88!K33</f>
        <v>95.5</v>
      </c>
      <c r="T641" s="84">
        <f>HHDHT88!J33</f>
        <v>104.9</v>
      </c>
      <c r="U641" s="84">
        <f t="shared" si="1246"/>
        <v>500</v>
      </c>
      <c r="V641" s="84">
        <f t="shared" si="1191"/>
        <v>4700.0000000000027</v>
      </c>
      <c r="W641" s="84"/>
      <c r="X641" s="84"/>
      <c r="Y641" s="85">
        <f>N641/73/30</f>
        <v>2.1461187214611881</v>
      </c>
      <c r="AA641" s="82" t="s">
        <v>253</v>
      </c>
    </row>
    <row r="642" spans="1:27" hidden="1" x14ac:dyDescent="0.35">
      <c r="A642" s="49">
        <v>8</v>
      </c>
      <c r="B642" s="49" t="str">
        <f t="shared" ref="B642:G642" si="1247">B641</f>
        <v>Alanahalli</v>
      </c>
      <c r="C642" s="49" t="str">
        <f t="shared" si="1247"/>
        <v>Alanahalli/ 11H5</v>
      </c>
      <c r="D642" s="49" t="str">
        <f t="shared" si="1247"/>
        <v>KB Kashinath, Sapthagiri Farms,Alanahalli Village, HD Kote Tq.</v>
      </c>
      <c r="E642" s="49" t="str">
        <f t="shared" si="1247"/>
        <v>HHDHT88</v>
      </c>
      <c r="F642" s="49">
        <f t="shared" si="1247"/>
        <v>84</v>
      </c>
      <c r="G642" s="49" t="str">
        <f t="shared" si="1247"/>
        <v>Private</v>
      </c>
      <c r="H642" s="49"/>
      <c r="I642" s="49" t="str">
        <f t="shared" ref="I642:J642" si="1248">I641</f>
        <v>73KW</v>
      </c>
      <c r="J642" s="49" t="str">
        <f t="shared" si="1248"/>
        <v>HT2A(II)</v>
      </c>
      <c r="K642" s="84">
        <f>HHDHT88!Q34</f>
        <v>104.9</v>
      </c>
      <c r="L642" s="84">
        <f>HHDHT88!P34</f>
        <v>110.8</v>
      </c>
      <c r="M642" s="84">
        <f t="shared" si="1244"/>
        <v>500</v>
      </c>
      <c r="N642" s="84">
        <f t="shared" ref="N642:N649" si="1249">(L642-K642)*M642</f>
        <v>2949.9999999999959</v>
      </c>
      <c r="O642" s="84">
        <f>HHDHT88!F34</f>
        <v>165.8</v>
      </c>
      <c r="P642" s="84">
        <f>HHDHT88!E34</f>
        <v>170.1</v>
      </c>
      <c r="Q642" s="84">
        <f t="shared" si="1245"/>
        <v>500</v>
      </c>
      <c r="R642" s="84">
        <f t="shared" ref="R642:R649" si="1250">(P642-O642)*Q642</f>
        <v>2149.9999999999914</v>
      </c>
      <c r="S642" s="84">
        <f>HHDHT88!K34</f>
        <v>104.9</v>
      </c>
      <c r="T642" s="84">
        <f>HHDHT88!J34</f>
        <v>110.8</v>
      </c>
      <c r="U642" s="84">
        <f t="shared" si="1246"/>
        <v>500</v>
      </c>
      <c r="V642" s="84">
        <f t="shared" ref="V642:V649" si="1251">(T642-S642)*U642</f>
        <v>2949.9999999999959</v>
      </c>
      <c r="W642" s="84"/>
      <c r="X642" s="84"/>
      <c r="Y642" s="85">
        <f t="shared" ref="Y642:Y649" si="1252">N642/73/30</f>
        <v>1.3470319634703178</v>
      </c>
      <c r="AA642" s="83" t="s">
        <v>254</v>
      </c>
    </row>
    <row r="643" spans="1:27" hidden="1" x14ac:dyDescent="0.35">
      <c r="A643" s="49">
        <v>9</v>
      </c>
      <c r="B643" s="49" t="str">
        <f t="shared" ref="B643:G643" si="1253">B642</f>
        <v>Alanahalli</v>
      </c>
      <c r="C643" s="49" t="str">
        <f t="shared" si="1253"/>
        <v>Alanahalli/ 11H5</v>
      </c>
      <c r="D643" s="49" t="str">
        <f t="shared" si="1253"/>
        <v>KB Kashinath, Sapthagiri Farms,Alanahalli Village, HD Kote Tq.</v>
      </c>
      <c r="E643" s="49" t="str">
        <f t="shared" si="1253"/>
        <v>HHDHT88</v>
      </c>
      <c r="F643" s="49">
        <f t="shared" si="1253"/>
        <v>84</v>
      </c>
      <c r="G643" s="49" t="str">
        <f t="shared" si="1253"/>
        <v>Private</v>
      </c>
      <c r="H643" s="49"/>
      <c r="I643" s="49" t="str">
        <f t="shared" ref="I643:J643" si="1254">I642</f>
        <v>73KW</v>
      </c>
      <c r="J643" s="49" t="str">
        <f t="shared" si="1254"/>
        <v>HT2A(II)</v>
      </c>
      <c r="K643" s="84">
        <f>HHDHT88!Q35</f>
        <v>110.8</v>
      </c>
      <c r="L643" s="84">
        <f>HHDHT88!P35</f>
        <v>119.3</v>
      </c>
      <c r="M643" s="84">
        <f t="shared" si="1244"/>
        <v>500</v>
      </c>
      <c r="N643" s="84">
        <f t="shared" si="1249"/>
        <v>4250</v>
      </c>
      <c r="O643" s="84">
        <f>HHDHT88!F35</f>
        <v>170.1</v>
      </c>
      <c r="P643" s="84">
        <f>HHDHT88!E35</f>
        <v>174</v>
      </c>
      <c r="Q643" s="84">
        <f t="shared" si="1245"/>
        <v>500</v>
      </c>
      <c r="R643" s="84">
        <f t="shared" si="1250"/>
        <v>1950.0000000000027</v>
      </c>
      <c r="S643" s="84">
        <f>HHDHT88!K35</f>
        <v>110.8</v>
      </c>
      <c r="T643" s="84">
        <f>HHDHT88!J35</f>
        <v>119.3</v>
      </c>
      <c r="U643" s="84">
        <f t="shared" si="1246"/>
        <v>500</v>
      </c>
      <c r="V643" s="84">
        <f t="shared" si="1251"/>
        <v>4250</v>
      </c>
      <c r="W643" s="84"/>
      <c r="X643" s="84"/>
      <c r="Y643" s="85">
        <f t="shared" si="1252"/>
        <v>1.9406392694063928</v>
      </c>
      <c r="AA643" s="83" t="s">
        <v>258</v>
      </c>
    </row>
    <row r="644" spans="1:27" hidden="1" x14ac:dyDescent="0.35">
      <c r="A644" s="49">
        <v>10</v>
      </c>
      <c r="B644" s="49" t="str">
        <f t="shared" ref="B644:G644" si="1255">B643</f>
        <v>Alanahalli</v>
      </c>
      <c r="C644" s="49" t="str">
        <f t="shared" si="1255"/>
        <v>Alanahalli/ 11H5</v>
      </c>
      <c r="D644" s="49" t="str">
        <f t="shared" si="1255"/>
        <v>KB Kashinath, Sapthagiri Farms,Alanahalli Village, HD Kote Tq.</v>
      </c>
      <c r="E644" s="49" t="str">
        <f t="shared" si="1255"/>
        <v>HHDHT88</v>
      </c>
      <c r="F644" s="49">
        <f t="shared" si="1255"/>
        <v>84</v>
      </c>
      <c r="G644" s="49" t="str">
        <f t="shared" si="1255"/>
        <v>Private</v>
      </c>
      <c r="H644" s="49"/>
      <c r="I644" s="49" t="str">
        <f t="shared" ref="I644:J644" si="1256">I643</f>
        <v>73KW</v>
      </c>
      <c r="J644" s="49" t="str">
        <f t="shared" si="1256"/>
        <v>HT2A(II)</v>
      </c>
      <c r="K644" s="84">
        <f>HHDHT88!Q36</f>
        <v>0</v>
      </c>
      <c r="L644" s="84">
        <f>HHDHT88!P36</f>
        <v>0</v>
      </c>
      <c r="M644" s="84">
        <f t="shared" si="1244"/>
        <v>500</v>
      </c>
      <c r="N644" s="84">
        <f t="shared" si="1249"/>
        <v>0</v>
      </c>
      <c r="O644" s="84">
        <f>HHDHT88!F36</f>
        <v>0</v>
      </c>
      <c r="P644" s="84">
        <f>HHDHT88!E36</f>
        <v>0</v>
      </c>
      <c r="Q644" s="84">
        <f t="shared" si="1245"/>
        <v>500</v>
      </c>
      <c r="R644" s="84">
        <f t="shared" si="1250"/>
        <v>0</v>
      </c>
      <c r="S644" s="84">
        <f>HHDHT88!K36</f>
        <v>0</v>
      </c>
      <c r="T644" s="84">
        <f>HHDHT88!J36</f>
        <v>0</v>
      </c>
      <c r="U644" s="84">
        <f t="shared" si="1246"/>
        <v>500</v>
      </c>
      <c r="V644" s="84">
        <f t="shared" si="1251"/>
        <v>0</v>
      </c>
      <c r="W644" s="84"/>
      <c r="X644" s="84"/>
      <c r="Y644" s="85">
        <f t="shared" si="1252"/>
        <v>0</v>
      </c>
    </row>
    <row r="645" spans="1:27" hidden="1" x14ac:dyDescent="0.35">
      <c r="A645" s="49">
        <v>11</v>
      </c>
      <c r="B645" s="49" t="str">
        <f t="shared" ref="B645:G645" si="1257">B644</f>
        <v>Alanahalli</v>
      </c>
      <c r="C645" s="49" t="str">
        <f t="shared" si="1257"/>
        <v>Alanahalli/ 11H5</v>
      </c>
      <c r="D645" s="49" t="str">
        <f t="shared" si="1257"/>
        <v>KB Kashinath, Sapthagiri Farms,Alanahalli Village, HD Kote Tq.</v>
      </c>
      <c r="E645" s="49" t="str">
        <f t="shared" si="1257"/>
        <v>HHDHT88</v>
      </c>
      <c r="F645" s="49">
        <f t="shared" si="1257"/>
        <v>84</v>
      </c>
      <c r="G645" s="49" t="str">
        <f t="shared" si="1257"/>
        <v>Private</v>
      </c>
      <c r="H645" s="49"/>
      <c r="I645" s="49" t="str">
        <f t="shared" ref="I645:J645" si="1258">I644</f>
        <v>73KW</v>
      </c>
      <c r="J645" s="49" t="str">
        <f t="shared" si="1258"/>
        <v>HT2A(II)</v>
      </c>
      <c r="K645" s="84">
        <f>HHDHT88!Q37</f>
        <v>119.3</v>
      </c>
      <c r="L645" s="84">
        <f>HHDHT88!P37</f>
        <v>126.2</v>
      </c>
      <c r="M645" s="84">
        <f t="shared" si="1244"/>
        <v>500</v>
      </c>
      <c r="N645" s="84">
        <f t="shared" si="1249"/>
        <v>3450.0000000000027</v>
      </c>
      <c r="O645" s="84">
        <f>HHDHT88!F37</f>
        <v>174</v>
      </c>
      <c r="P645" s="84">
        <f>HHDHT88!E37</f>
        <v>176.7</v>
      </c>
      <c r="Q645" s="84">
        <f t="shared" si="1245"/>
        <v>500</v>
      </c>
      <c r="R645" s="84">
        <f t="shared" si="1250"/>
        <v>1349.9999999999943</v>
      </c>
      <c r="S645" s="84">
        <f>HHDHT88!K37</f>
        <v>119.3</v>
      </c>
      <c r="T645" s="84">
        <f>HHDHT88!J37</f>
        <v>126.2</v>
      </c>
      <c r="U645" s="84">
        <f t="shared" si="1246"/>
        <v>500</v>
      </c>
      <c r="V645" s="84">
        <f t="shared" si="1251"/>
        <v>3450.0000000000027</v>
      </c>
      <c r="W645" s="84"/>
      <c r="X645" s="84"/>
      <c r="Y645" s="85">
        <f t="shared" si="1252"/>
        <v>1.5753424657534258</v>
      </c>
      <c r="AA645" s="83" t="s">
        <v>259</v>
      </c>
    </row>
    <row r="646" spans="1:27" hidden="1" x14ac:dyDescent="0.35">
      <c r="A646" s="49">
        <v>12</v>
      </c>
      <c r="B646" s="49" t="str">
        <f t="shared" ref="B646:G646" si="1259">B645</f>
        <v>Alanahalli</v>
      </c>
      <c r="C646" s="49" t="str">
        <f t="shared" si="1259"/>
        <v>Alanahalli/ 11H5</v>
      </c>
      <c r="D646" s="49" t="str">
        <f t="shared" si="1259"/>
        <v>KB Kashinath, Sapthagiri Farms,Alanahalli Village, HD Kote Tq.</v>
      </c>
      <c r="E646" s="49" t="str">
        <f t="shared" si="1259"/>
        <v>HHDHT88</v>
      </c>
      <c r="F646" s="49">
        <f t="shared" si="1259"/>
        <v>84</v>
      </c>
      <c r="G646" s="49" t="str">
        <f t="shared" si="1259"/>
        <v>Private</v>
      </c>
      <c r="H646" s="49"/>
      <c r="I646" s="49" t="str">
        <f t="shared" ref="I646:J646" si="1260">I645</f>
        <v>73KW</v>
      </c>
      <c r="J646" s="49" t="str">
        <f t="shared" si="1260"/>
        <v>HT2A(II)</v>
      </c>
      <c r="K646" s="84">
        <f>HHDHT88!Q38</f>
        <v>126.2</v>
      </c>
      <c r="L646" s="84">
        <f>HHDHT88!P38</f>
        <v>129.9</v>
      </c>
      <c r="M646" s="84">
        <f t="shared" si="1244"/>
        <v>500</v>
      </c>
      <c r="N646" s="84">
        <f t="shared" si="1249"/>
        <v>1850.0000000000014</v>
      </c>
      <c r="O646" s="84">
        <f>HHDHT88!F38</f>
        <v>176.7</v>
      </c>
      <c r="P646" s="84">
        <f>HHDHT88!E38</f>
        <v>180</v>
      </c>
      <c r="Q646" s="84">
        <f t="shared" si="1245"/>
        <v>500</v>
      </c>
      <c r="R646" s="84">
        <f t="shared" si="1250"/>
        <v>1650.0000000000057</v>
      </c>
      <c r="S646" s="84">
        <f>HHDHT88!K38</f>
        <v>126.2</v>
      </c>
      <c r="T646" s="84">
        <f>HHDHT88!J38</f>
        <v>129.9</v>
      </c>
      <c r="U646" s="84">
        <f t="shared" si="1246"/>
        <v>500</v>
      </c>
      <c r="V646" s="84">
        <f t="shared" si="1251"/>
        <v>1850.0000000000014</v>
      </c>
      <c r="W646" s="84"/>
      <c r="X646" s="84"/>
      <c r="Y646" s="85">
        <f t="shared" si="1252"/>
        <v>0.84474885844748926</v>
      </c>
      <c r="AA646" s="83" t="s">
        <v>263</v>
      </c>
    </row>
    <row r="647" spans="1:27" hidden="1" x14ac:dyDescent="0.35">
      <c r="A647" s="49">
        <v>13</v>
      </c>
      <c r="B647" s="49" t="str">
        <f t="shared" ref="B647:G647" si="1261">B646</f>
        <v>Alanahalli</v>
      </c>
      <c r="C647" s="49" t="str">
        <f t="shared" si="1261"/>
        <v>Alanahalli/ 11H5</v>
      </c>
      <c r="D647" s="49" t="str">
        <f t="shared" si="1261"/>
        <v>KB Kashinath, Sapthagiri Farms,Alanahalli Village, HD Kote Tq.</v>
      </c>
      <c r="E647" s="49" t="str">
        <f t="shared" si="1261"/>
        <v>HHDHT88</v>
      </c>
      <c r="F647" s="49">
        <f t="shared" si="1261"/>
        <v>84</v>
      </c>
      <c r="G647" s="49" t="str">
        <f t="shared" si="1261"/>
        <v>Private</v>
      </c>
      <c r="H647" s="49"/>
      <c r="I647" s="49" t="str">
        <f t="shared" ref="I647:J647" si="1262">I646</f>
        <v>73KW</v>
      </c>
      <c r="J647" s="49" t="str">
        <f t="shared" si="1262"/>
        <v>HT2A(II)</v>
      </c>
      <c r="K647" s="84">
        <f>HHDHT88!Q39</f>
        <v>129.9</v>
      </c>
      <c r="L647" s="84">
        <f>HHDHT88!P39</f>
        <v>133.19999999999999</v>
      </c>
      <c r="M647" s="84">
        <f t="shared" si="1244"/>
        <v>500</v>
      </c>
      <c r="N647" s="84">
        <f t="shared" si="1249"/>
        <v>1649.9999999999914</v>
      </c>
      <c r="O647" s="84">
        <f>HHDHT88!F39</f>
        <v>180</v>
      </c>
      <c r="P647" s="84">
        <f>HHDHT88!E39</f>
        <v>183.2</v>
      </c>
      <c r="Q647" s="84">
        <f t="shared" si="1245"/>
        <v>500</v>
      </c>
      <c r="R647" s="84">
        <f t="shared" si="1250"/>
        <v>1599.9999999999943</v>
      </c>
      <c r="S647" s="84">
        <f>HHDHT88!K39</f>
        <v>129.9</v>
      </c>
      <c r="T647" s="84">
        <f>HHDHT88!J39</f>
        <v>133.19999999999999</v>
      </c>
      <c r="U647" s="84">
        <f t="shared" si="1246"/>
        <v>500</v>
      </c>
      <c r="V647" s="84">
        <f t="shared" si="1251"/>
        <v>1649.9999999999914</v>
      </c>
      <c r="W647" s="84"/>
      <c r="X647" s="84"/>
      <c r="Y647" s="85">
        <f t="shared" si="1252"/>
        <v>0.7534246575342427</v>
      </c>
      <c r="AA647" s="83" t="s">
        <v>265</v>
      </c>
    </row>
    <row r="648" spans="1:27" hidden="1" x14ac:dyDescent="0.35">
      <c r="A648" s="49">
        <v>14</v>
      </c>
      <c r="B648" s="49" t="str">
        <f t="shared" ref="B648:G648" si="1263">B647</f>
        <v>Alanahalli</v>
      </c>
      <c r="C648" s="49" t="str">
        <f t="shared" si="1263"/>
        <v>Alanahalli/ 11H5</v>
      </c>
      <c r="D648" s="49" t="str">
        <f t="shared" si="1263"/>
        <v>KB Kashinath, Sapthagiri Farms,Alanahalli Village, HD Kote Tq.</v>
      </c>
      <c r="E648" s="49" t="str">
        <f t="shared" si="1263"/>
        <v>HHDHT88</v>
      </c>
      <c r="F648" s="49">
        <f t="shared" si="1263"/>
        <v>84</v>
      </c>
      <c r="G648" s="49" t="str">
        <f t="shared" si="1263"/>
        <v>Private</v>
      </c>
      <c r="H648" s="49"/>
      <c r="I648" s="49" t="str">
        <f t="shared" ref="I648:J648" si="1264">I647</f>
        <v>73KW</v>
      </c>
      <c r="J648" s="49" t="str">
        <f t="shared" si="1264"/>
        <v>HT2A(II)</v>
      </c>
      <c r="K648" s="84">
        <f>HHDHT88!Q40</f>
        <v>133.19999999999999</v>
      </c>
      <c r="L648" s="84">
        <f>HHDHT88!P40</f>
        <v>136.5</v>
      </c>
      <c r="M648" s="84">
        <f t="shared" si="1244"/>
        <v>500</v>
      </c>
      <c r="N648" s="84">
        <f t="shared" si="1249"/>
        <v>1650.0000000000057</v>
      </c>
      <c r="O648" s="84">
        <f>HHDHT88!F40</f>
        <v>183.2</v>
      </c>
      <c r="P648" s="84">
        <f>HHDHT88!E40</f>
        <v>187.4</v>
      </c>
      <c r="Q648" s="84">
        <f t="shared" si="1245"/>
        <v>500</v>
      </c>
      <c r="R648" s="84">
        <f t="shared" si="1250"/>
        <v>2100.0000000000086</v>
      </c>
      <c r="S648" s="84">
        <f>HHDHT88!K40</f>
        <v>133.19999999999999</v>
      </c>
      <c r="T648" s="84">
        <f>HHDHT88!J40</f>
        <v>136.5</v>
      </c>
      <c r="U648" s="84">
        <f t="shared" si="1246"/>
        <v>500</v>
      </c>
      <c r="V648" s="84">
        <f t="shared" si="1251"/>
        <v>1650.0000000000057</v>
      </c>
      <c r="W648" s="84"/>
      <c r="X648" s="84"/>
      <c r="Y648" s="85">
        <f t="shared" si="1252"/>
        <v>0.75342465753424925</v>
      </c>
    </row>
    <row r="649" spans="1:27" hidden="1" x14ac:dyDescent="0.35">
      <c r="A649" s="49">
        <v>15</v>
      </c>
      <c r="B649" s="49" t="str">
        <f t="shared" ref="B649:G649" si="1265">B648</f>
        <v>Alanahalli</v>
      </c>
      <c r="C649" s="49" t="str">
        <f t="shared" si="1265"/>
        <v>Alanahalli/ 11H5</v>
      </c>
      <c r="D649" s="49" t="str">
        <f t="shared" si="1265"/>
        <v>KB Kashinath, Sapthagiri Farms,Alanahalli Village, HD Kote Tq.</v>
      </c>
      <c r="E649" s="49" t="str">
        <f t="shared" si="1265"/>
        <v>HHDHT88</v>
      </c>
      <c r="F649" s="49">
        <f t="shared" si="1265"/>
        <v>84</v>
      </c>
      <c r="G649" s="49" t="str">
        <f t="shared" si="1265"/>
        <v>Private</v>
      </c>
      <c r="H649" s="49"/>
      <c r="I649" s="49" t="str">
        <f t="shared" ref="I649:J649" si="1266">I648</f>
        <v>73KW</v>
      </c>
      <c r="J649" s="49" t="str">
        <f t="shared" si="1266"/>
        <v>HT2A(II)</v>
      </c>
      <c r="K649" s="84">
        <f>HHDHT88!Q41</f>
        <v>136.5</v>
      </c>
      <c r="L649" s="84">
        <f>HHDHT88!P41</f>
        <v>138.6</v>
      </c>
      <c r="M649" s="84">
        <f t="shared" si="1244"/>
        <v>500</v>
      </c>
      <c r="N649" s="84">
        <f t="shared" si="1249"/>
        <v>1049.9999999999973</v>
      </c>
      <c r="O649" s="84">
        <f>HHDHT88!F41</f>
        <v>187.4</v>
      </c>
      <c r="P649" s="84">
        <f>HHDHT88!E41</f>
        <v>192.1</v>
      </c>
      <c r="Q649" s="84">
        <f t="shared" si="1245"/>
        <v>500</v>
      </c>
      <c r="R649" s="84">
        <f t="shared" si="1250"/>
        <v>2349.9999999999945</v>
      </c>
      <c r="S649" s="84">
        <f>HHDHT88!K41</f>
        <v>136.5</v>
      </c>
      <c r="T649" s="84">
        <f>HHDHT88!J41</f>
        <v>138.6</v>
      </c>
      <c r="U649" s="84">
        <f t="shared" si="1246"/>
        <v>500</v>
      </c>
      <c r="V649" s="84">
        <f t="shared" si="1251"/>
        <v>1049.9999999999973</v>
      </c>
      <c r="W649" s="84"/>
      <c r="X649" s="84"/>
      <c r="Y649" s="85">
        <f t="shared" si="1252"/>
        <v>0.4794520547945193</v>
      </c>
    </row>
    <row r="650" spans="1:27" hidden="1" x14ac:dyDescent="0.35">
      <c r="A650" s="49">
        <v>16</v>
      </c>
      <c r="B650" s="49" t="str">
        <f t="shared" ref="B650:G650" si="1267">B649</f>
        <v>Alanahalli</v>
      </c>
      <c r="C650" s="49" t="str">
        <f t="shared" si="1267"/>
        <v>Alanahalli/ 11H5</v>
      </c>
      <c r="D650" s="49" t="str">
        <f t="shared" si="1267"/>
        <v>KB Kashinath, Sapthagiri Farms,Alanahalli Village, HD Kote Tq.</v>
      </c>
      <c r="E650" s="49" t="str">
        <f t="shared" si="1267"/>
        <v>HHDHT88</v>
      </c>
      <c r="F650" s="49">
        <f t="shared" si="1267"/>
        <v>84</v>
      </c>
      <c r="G650" s="49" t="str">
        <f t="shared" si="1267"/>
        <v>Private</v>
      </c>
      <c r="H650" s="49"/>
      <c r="I650" s="49" t="str">
        <f t="shared" ref="I650:J650" si="1268">I649</f>
        <v>73KW</v>
      </c>
      <c r="J650" s="49" t="str">
        <f t="shared" si="1268"/>
        <v>HT2A(II)</v>
      </c>
      <c r="K650" s="84">
        <f>HHDHT88!Q42</f>
        <v>138.6</v>
      </c>
      <c r="L650" s="84">
        <f>HHDHT88!P42</f>
        <v>140.80000000000001</v>
      </c>
      <c r="M650" s="84">
        <f t="shared" si="1244"/>
        <v>500</v>
      </c>
      <c r="N650" s="84">
        <f t="shared" ref="N650:N656" si="1269">(L650-K650)*M650</f>
        <v>1100.0000000000086</v>
      </c>
      <c r="O650" s="84">
        <f>HHDHT88!F42</f>
        <v>192.1</v>
      </c>
      <c r="P650" s="84">
        <f>HHDHT88!E42</f>
        <v>196.8</v>
      </c>
      <c r="Q650" s="84">
        <f t="shared" si="1245"/>
        <v>500</v>
      </c>
      <c r="R650" s="84">
        <f t="shared" ref="R650:R656" si="1270">(P650-O650)*Q650</f>
        <v>2350.0000000000086</v>
      </c>
      <c r="S650" s="84">
        <f>HHDHT88!K42</f>
        <v>138.6</v>
      </c>
      <c r="T650" s="84">
        <f>HHDHT88!J42</f>
        <v>140.80000000000001</v>
      </c>
      <c r="U650" s="84">
        <f t="shared" si="1246"/>
        <v>500</v>
      </c>
      <c r="V650" s="84">
        <f t="shared" ref="V650:V656" si="1271">(T650-S650)*U650</f>
        <v>1100.0000000000086</v>
      </c>
      <c r="W650" s="84"/>
      <c r="X650" s="84"/>
      <c r="Y650" s="85">
        <f>N650/73/30</f>
        <v>0.50228310502283502</v>
      </c>
    </row>
    <row r="651" spans="1:27" hidden="1" x14ac:dyDescent="0.35">
      <c r="A651" s="93">
        <v>17</v>
      </c>
      <c r="B651" s="49" t="str">
        <f t="shared" ref="B651:G651" si="1272">B650</f>
        <v>Alanahalli</v>
      </c>
      <c r="C651" s="49" t="str">
        <f t="shared" si="1272"/>
        <v>Alanahalli/ 11H5</v>
      </c>
      <c r="D651" s="49" t="str">
        <f t="shared" si="1272"/>
        <v>KB Kashinath, Sapthagiri Farms,Alanahalli Village, HD Kote Tq.</v>
      </c>
      <c r="E651" s="49" t="str">
        <f t="shared" si="1272"/>
        <v>HHDHT88</v>
      </c>
      <c r="F651" s="49">
        <f t="shared" si="1272"/>
        <v>84</v>
      </c>
      <c r="G651" s="49" t="str">
        <f t="shared" si="1272"/>
        <v>Private</v>
      </c>
      <c r="H651" s="49"/>
      <c r="I651" s="49" t="str">
        <f t="shared" ref="I651:J651" si="1273">I650</f>
        <v>73KW</v>
      </c>
      <c r="J651" s="49" t="str">
        <f t="shared" si="1273"/>
        <v>HT2A(II)</v>
      </c>
      <c r="K651" s="84">
        <f>HHDHT88!Q43</f>
        <v>140.80000000000001</v>
      </c>
      <c r="L651" s="84">
        <f>HHDHT88!P43</f>
        <v>144.19999999999999</v>
      </c>
      <c r="M651" s="84">
        <f t="shared" si="1244"/>
        <v>500</v>
      </c>
      <c r="N651" s="84">
        <f t="shared" si="1269"/>
        <v>1699.9999999999886</v>
      </c>
      <c r="O651" s="84">
        <f>HHDHT88!F43</f>
        <v>196.8</v>
      </c>
      <c r="P651" s="84">
        <f>HHDHT88!E43</f>
        <v>201.8</v>
      </c>
      <c r="Q651" s="84">
        <f t="shared" si="1245"/>
        <v>500</v>
      </c>
      <c r="R651" s="84">
        <f t="shared" si="1270"/>
        <v>2500</v>
      </c>
      <c r="S651" s="84">
        <f>HHDHT88!K43</f>
        <v>140.80000000000001</v>
      </c>
      <c r="T651" s="84">
        <f>HHDHT88!J43</f>
        <v>144.19999999999999</v>
      </c>
      <c r="U651" s="84">
        <f t="shared" si="1246"/>
        <v>500</v>
      </c>
      <c r="V651" s="84">
        <f t="shared" si="1271"/>
        <v>1699.9999999999886</v>
      </c>
      <c r="W651" s="84"/>
      <c r="X651" s="84"/>
      <c r="Y651" s="85">
        <f>N651/73/30</f>
        <v>0.77625570776255182</v>
      </c>
    </row>
    <row r="652" spans="1:27" ht="36.75" hidden="1" customHeight="1" x14ac:dyDescent="0.35">
      <c r="A652" s="94">
        <v>18</v>
      </c>
      <c r="B652" s="49" t="str">
        <f t="shared" ref="B652:G652" si="1274">B651</f>
        <v>Alanahalli</v>
      </c>
      <c r="C652" s="49" t="str">
        <f t="shared" si="1274"/>
        <v>Alanahalli/ 11H5</v>
      </c>
      <c r="D652" s="49" t="str">
        <f t="shared" si="1274"/>
        <v>KB Kashinath, Sapthagiri Farms,Alanahalli Village, HD Kote Tq.</v>
      </c>
      <c r="E652" s="49" t="str">
        <f t="shared" si="1274"/>
        <v>HHDHT88</v>
      </c>
      <c r="F652" s="49">
        <f t="shared" si="1274"/>
        <v>84</v>
      </c>
      <c r="G652" s="49" t="str">
        <f t="shared" si="1274"/>
        <v>Private</v>
      </c>
      <c r="H652" s="49"/>
      <c r="I652" s="49" t="str">
        <f t="shared" ref="I652:J652" si="1275">I651</f>
        <v>73KW</v>
      </c>
      <c r="J652" s="49" t="str">
        <f t="shared" si="1275"/>
        <v>HT2A(II)</v>
      </c>
      <c r="K652" s="84">
        <f>HHDHT88!Q44</f>
        <v>144.19999999999999</v>
      </c>
      <c r="L652" s="84">
        <f>HHDHT88!P44</f>
        <v>146.30000000000001</v>
      </c>
      <c r="M652" s="84">
        <f t="shared" si="1244"/>
        <v>500</v>
      </c>
      <c r="N652" s="84">
        <f t="shared" si="1269"/>
        <v>1050.0000000000114</v>
      </c>
      <c r="O652" s="84">
        <f>HHDHT88!F44</f>
        <v>201.8</v>
      </c>
      <c r="P652" s="84">
        <f>HHDHT88!E44</f>
        <v>208.5</v>
      </c>
      <c r="Q652" s="84">
        <f t="shared" si="1245"/>
        <v>500</v>
      </c>
      <c r="R652" s="84">
        <f t="shared" si="1270"/>
        <v>3349.9999999999945</v>
      </c>
      <c r="S652" s="84">
        <f>HHDHT88!K44</f>
        <v>144.19999999999999</v>
      </c>
      <c r="T652" s="84">
        <f>HHDHT88!J44</f>
        <v>146.30000000000001</v>
      </c>
      <c r="U652" s="84">
        <f t="shared" si="1246"/>
        <v>500</v>
      </c>
      <c r="V652" s="84">
        <f t="shared" si="1271"/>
        <v>1050.0000000000114</v>
      </c>
      <c r="W652" s="84"/>
      <c r="X652" s="84"/>
      <c r="Y652" s="85">
        <f>N652/73/30</f>
        <v>0.47945205479452574</v>
      </c>
    </row>
    <row r="653" spans="1:27" hidden="1" x14ac:dyDescent="0.35">
      <c r="A653" s="95">
        <v>19</v>
      </c>
      <c r="B653" s="49" t="str">
        <f t="shared" ref="B653:G653" si="1276">B652</f>
        <v>Alanahalli</v>
      </c>
      <c r="C653" s="49" t="str">
        <f t="shared" si="1276"/>
        <v>Alanahalli/ 11H5</v>
      </c>
      <c r="D653" s="49" t="str">
        <f t="shared" si="1276"/>
        <v>KB Kashinath, Sapthagiri Farms,Alanahalli Village, HD Kote Tq.</v>
      </c>
      <c r="E653" s="49" t="str">
        <f t="shared" si="1276"/>
        <v>HHDHT88</v>
      </c>
      <c r="F653" s="49">
        <f t="shared" si="1276"/>
        <v>84</v>
      </c>
      <c r="G653" s="49" t="str">
        <f t="shared" si="1276"/>
        <v>Private</v>
      </c>
      <c r="H653" s="49"/>
      <c r="I653" s="49" t="str">
        <f t="shared" ref="I653:J653" si="1277">I652</f>
        <v>73KW</v>
      </c>
      <c r="J653" s="49" t="str">
        <f t="shared" si="1277"/>
        <v>HT2A(II)</v>
      </c>
      <c r="K653" s="84">
        <f>HHDHT88!Q45</f>
        <v>146.30000000000001</v>
      </c>
      <c r="L653" s="84">
        <f>HHDHT88!P45</f>
        <v>149.4</v>
      </c>
      <c r="M653" s="84">
        <f t="shared" si="1244"/>
        <v>500</v>
      </c>
      <c r="N653" s="84">
        <f t="shared" si="1269"/>
        <v>1549.9999999999973</v>
      </c>
      <c r="O653" s="84">
        <f>HHDHT88!F45</f>
        <v>208.5</v>
      </c>
      <c r="P653" s="84">
        <f>HHDHT88!E45</f>
        <v>213.8</v>
      </c>
      <c r="Q653" s="84">
        <f t="shared" si="1245"/>
        <v>500</v>
      </c>
      <c r="R653" s="84">
        <f t="shared" si="1270"/>
        <v>2650.0000000000055</v>
      </c>
      <c r="S653" s="84">
        <f>HHDHT88!K45</f>
        <v>146.30000000000001</v>
      </c>
      <c r="T653" s="84">
        <f>HHDHT88!J45</f>
        <v>149.4</v>
      </c>
      <c r="U653" s="84">
        <f t="shared" si="1246"/>
        <v>500</v>
      </c>
      <c r="V653" s="84">
        <f t="shared" si="1271"/>
        <v>1549.9999999999973</v>
      </c>
      <c r="W653" s="84"/>
      <c r="X653" s="84"/>
      <c r="Y653" s="85">
        <f>N653/73/30</f>
        <v>0.70776255707762425</v>
      </c>
    </row>
    <row r="654" spans="1:27" hidden="1" x14ac:dyDescent="0.35">
      <c r="A654" s="49">
        <v>20</v>
      </c>
      <c r="B654" s="49" t="str">
        <f t="shared" ref="B654:G656" si="1278">B653</f>
        <v>Alanahalli</v>
      </c>
      <c r="C654" s="49" t="str">
        <f t="shared" si="1278"/>
        <v>Alanahalli/ 11H5</v>
      </c>
      <c r="D654" s="49" t="str">
        <f t="shared" si="1278"/>
        <v>KB Kashinath, Sapthagiri Farms,Alanahalli Village, HD Kote Tq.</v>
      </c>
      <c r="E654" s="49" t="str">
        <f t="shared" si="1278"/>
        <v>HHDHT88</v>
      </c>
      <c r="F654" s="49">
        <f t="shared" si="1278"/>
        <v>84</v>
      </c>
      <c r="G654" s="49" t="str">
        <f t="shared" si="1278"/>
        <v>Private</v>
      </c>
      <c r="H654" s="49"/>
      <c r="I654" s="49" t="str">
        <f t="shared" ref="I654:J656" si="1279">I653</f>
        <v>73KW</v>
      </c>
      <c r="J654" s="49" t="str">
        <f t="shared" si="1279"/>
        <v>HT2A(II)</v>
      </c>
      <c r="K654" s="84">
        <f>HHDHT88!Q46</f>
        <v>149.4</v>
      </c>
      <c r="L654" s="84">
        <f>HHDHT88!P46</f>
        <v>153.5</v>
      </c>
      <c r="M654" s="84">
        <f t="shared" si="1244"/>
        <v>500</v>
      </c>
      <c r="N654" s="84">
        <f t="shared" ref="N654" si="1280">(L654-K654)*M654</f>
        <v>2049.9999999999973</v>
      </c>
      <c r="O654" s="84">
        <f>HHDHT88!F46</f>
        <v>213.8</v>
      </c>
      <c r="P654" s="84">
        <f>HHDHT88!E46</f>
        <v>219</v>
      </c>
      <c r="Q654" s="84">
        <f t="shared" si="1245"/>
        <v>500</v>
      </c>
      <c r="R654" s="84">
        <f t="shared" ref="R654" si="1281">(P654-O654)*Q654</f>
        <v>2599.9999999999945</v>
      </c>
      <c r="S654" s="84">
        <f>HHDHT88!K46</f>
        <v>149.4</v>
      </c>
      <c r="T654" s="84">
        <f>HHDHT88!J46</f>
        <v>153.5</v>
      </c>
      <c r="U654" s="84">
        <f t="shared" si="1246"/>
        <v>500</v>
      </c>
      <c r="V654" s="84">
        <f t="shared" ref="V654" si="1282">(T654-S654)*U654</f>
        <v>2049.9999999999973</v>
      </c>
      <c r="W654" s="84"/>
      <c r="X654" s="84"/>
      <c r="Y654" s="85">
        <f t="shared" ref="Y654" si="1283">N654/73/30</f>
        <v>0.93607305936072938</v>
      </c>
    </row>
    <row r="655" spans="1:27" hidden="1" x14ac:dyDescent="0.35">
      <c r="A655" s="49">
        <v>21</v>
      </c>
      <c r="B655" s="49" t="str">
        <f t="shared" ref="B655:G659" si="1284">B654</f>
        <v>Alanahalli</v>
      </c>
      <c r="C655" s="49" t="str">
        <f t="shared" si="1284"/>
        <v>Alanahalli/ 11H5</v>
      </c>
      <c r="D655" s="49" t="str">
        <f t="shared" si="1284"/>
        <v>KB Kashinath, Sapthagiri Farms,Alanahalli Village, HD Kote Tq.</v>
      </c>
      <c r="E655" s="49" t="str">
        <f t="shared" si="1284"/>
        <v>HHDHT88</v>
      </c>
      <c r="F655" s="49">
        <f t="shared" si="1284"/>
        <v>84</v>
      </c>
      <c r="G655" s="49" t="str">
        <f t="shared" si="1284"/>
        <v>Private</v>
      </c>
      <c r="H655" s="49"/>
      <c r="I655" s="49" t="str">
        <f t="shared" ref="I655:J659" si="1285">I654</f>
        <v>73KW</v>
      </c>
      <c r="J655" s="49" t="str">
        <f t="shared" si="1285"/>
        <v>HT2A(II)</v>
      </c>
      <c r="K655" s="84">
        <f>HHDHT88!Q47</f>
        <v>153.5</v>
      </c>
      <c r="L655" s="84">
        <f>HHDHT88!P47</f>
        <v>157.5</v>
      </c>
      <c r="M655" s="84">
        <f t="shared" si="1244"/>
        <v>500</v>
      </c>
      <c r="N655" s="84">
        <f t="shared" si="1269"/>
        <v>2000</v>
      </c>
      <c r="O655" s="84">
        <f>HHDHT88!F47</f>
        <v>219</v>
      </c>
      <c r="P655" s="84">
        <f>HHDHT88!E47</f>
        <v>223.8</v>
      </c>
      <c r="Q655" s="84">
        <f t="shared" si="1245"/>
        <v>500</v>
      </c>
      <c r="R655" s="84">
        <f t="shared" si="1270"/>
        <v>2400.0000000000055</v>
      </c>
      <c r="S655" s="84">
        <f>HHDHT88!K47</f>
        <v>153.5</v>
      </c>
      <c r="T655" s="84">
        <f>HHDHT88!J47</f>
        <v>157.5</v>
      </c>
      <c r="U655" s="84">
        <f t="shared" si="1246"/>
        <v>500</v>
      </c>
      <c r="V655" s="84">
        <f t="shared" si="1271"/>
        <v>2000</v>
      </c>
      <c r="W655" s="84"/>
      <c r="X655" s="84"/>
      <c r="Y655" s="85">
        <f>N655/73/30</f>
        <v>0.91324200913242004</v>
      </c>
    </row>
    <row r="656" spans="1:27" hidden="1" x14ac:dyDescent="0.35">
      <c r="A656" s="49">
        <v>22</v>
      </c>
      <c r="B656" s="49" t="str">
        <f t="shared" si="1278"/>
        <v>Alanahalli</v>
      </c>
      <c r="C656" s="49" t="str">
        <f t="shared" si="1278"/>
        <v>Alanahalli/ 11H5</v>
      </c>
      <c r="D656" s="49" t="str">
        <f t="shared" si="1278"/>
        <v>KB Kashinath, Sapthagiri Farms,Alanahalli Village, HD Kote Tq.</v>
      </c>
      <c r="E656" s="49" t="str">
        <f t="shared" si="1278"/>
        <v>HHDHT88</v>
      </c>
      <c r="F656" s="49">
        <f t="shared" si="1278"/>
        <v>84</v>
      </c>
      <c r="G656" s="49" t="str">
        <f t="shared" si="1278"/>
        <v>Private</v>
      </c>
      <c r="H656" s="49"/>
      <c r="I656" s="49" t="str">
        <f t="shared" si="1279"/>
        <v>73KW</v>
      </c>
      <c r="J656" s="49" t="str">
        <f t="shared" si="1279"/>
        <v>HT2A(II)</v>
      </c>
      <c r="K656" s="84">
        <f>HHDHT88!Q48</f>
        <v>157.5</v>
      </c>
      <c r="L656" s="84">
        <f>HHDHT88!P48</f>
        <v>163</v>
      </c>
      <c r="M656" s="84">
        <f t="shared" si="1244"/>
        <v>500</v>
      </c>
      <c r="N656" s="84">
        <f t="shared" si="1269"/>
        <v>2750</v>
      </c>
      <c r="O656" s="84">
        <f>HHDHT88!F48</f>
        <v>223.8</v>
      </c>
      <c r="P656" s="84">
        <f>HHDHT88!E48</f>
        <v>229.5</v>
      </c>
      <c r="Q656" s="84">
        <f t="shared" si="1245"/>
        <v>500</v>
      </c>
      <c r="R656" s="84">
        <f t="shared" si="1270"/>
        <v>2849.9999999999945</v>
      </c>
      <c r="S656" s="84">
        <f>HHDHT88!K48</f>
        <v>157.5</v>
      </c>
      <c r="T656" s="84">
        <f>HHDHT88!J48</f>
        <v>163</v>
      </c>
      <c r="U656" s="84">
        <f t="shared" si="1246"/>
        <v>500</v>
      </c>
      <c r="V656" s="84">
        <f t="shared" si="1271"/>
        <v>2750</v>
      </c>
      <c r="W656" s="84"/>
      <c r="X656" s="84"/>
      <c r="Y656" s="85">
        <f>N656/73/30</f>
        <v>1.2557077625570776</v>
      </c>
    </row>
    <row r="657" spans="1:25" hidden="1" x14ac:dyDescent="0.35">
      <c r="A657" s="49">
        <v>23</v>
      </c>
      <c r="B657" s="49" t="str">
        <f t="shared" ref="B657:G657" si="1286">B656</f>
        <v>Alanahalli</v>
      </c>
      <c r="C657" s="49" t="str">
        <f t="shared" si="1286"/>
        <v>Alanahalli/ 11H5</v>
      </c>
      <c r="D657" s="49" t="str">
        <f t="shared" si="1286"/>
        <v>KB Kashinath, Sapthagiri Farms,Alanahalli Village, HD Kote Tq.</v>
      </c>
      <c r="E657" s="49" t="str">
        <f t="shared" si="1286"/>
        <v>HHDHT88</v>
      </c>
      <c r="F657" s="49">
        <f t="shared" si="1286"/>
        <v>84</v>
      </c>
      <c r="G657" s="49" t="str">
        <f t="shared" si="1286"/>
        <v>Private</v>
      </c>
      <c r="H657" s="49"/>
      <c r="I657" s="49" t="str">
        <f t="shared" ref="I657:J657" si="1287">I656</f>
        <v>73KW</v>
      </c>
      <c r="J657" s="49" t="str">
        <f t="shared" si="1287"/>
        <v>HT2A(II)</v>
      </c>
      <c r="K657" s="84">
        <f>HHDHT88!Q50</f>
        <v>163</v>
      </c>
      <c r="L657" s="84">
        <f>HHDHT88!P50</f>
        <v>165.1</v>
      </c>
      <c r="M657" s="84">
        <f t="shared" si="1244"/>
        <v>500</v>
      </c>
      <c r="N657" s="84">
        <f t="shared" ref="N657:N659" si="1288">(L657-K657)*M657</f>
        <v>1049.9999999999973</v>
      </c>
      <c r="O657" s="84">
        <f>HHDHT88!F50</f>
        <v>229.5</v>
      </c>
      <c r="P657" s="84">
        <f>HHDHT88!E50</f>
        <v>237.2</v>
      </c>
      <c r="Q657" s="84">
        <f t="shared" si="1245"/>
        <v>500</v>
      </c>
      <c r="R657" s="84">
        <f t="shared" ref="R657:R659" si="1289">(P657-O657)*Q657</f>
        <v>3849.9999999999945</v>
      </c>
      <c r="S657" s="84">
        <f>HHDHT88!K50</f>
        <v>163</v>
      </c>
      <c r="T657" s="84">
        <f>HHDHT88!J50</f>
        <v>165.1</v>
      </c>
      <c r="U657" s="84">
        <f t="shared" si="1246"/>
        <v>500</v>
      </c>
      <c r="V657" s="84">
        <f t="shared" ref="V657:V659" si="1290">(T657-S657)*U657</f>
        <v>1049.9999999999973</v>
      </c>
      <c r="W657" s="84"/>
      <c r="X657" s="84"/>
      <c r="Y657" s="85">
        <f t="shared" ref="Y657:Y659" si="1291">N657/73/30</f>
        <v>0.4794520547945193</v>
      </c>
    </row>
    <row r="658" spans="1:25" hidden="1" x14ac:dyDescent="0.35">
      <c r="A658" s="49">
        <v>24</v>
      </c>
      <c r="B658" s="49" t="str">
        <f t="shared" ref="B658:G658" si="1292">B657</f>
        <v>Alanahalli</v>
      </c>
      <c r="C658" s="49" t="str">
        <f t="shared" si="1292"/>
        <v>Alanahalli/ 11H5</v>
      </c>
      <c r="D658" s="49" t="str">
        <f t="shared" si="1292"/>
        <v>KB Kashinath, Sapthagiri Farms,Alanahalli Village, HD Kote Tq.</v>
      </c>
      <c r="E658" s="49" t="str">
        <f t="shared" si="1292"/>
        <v>HHDHT88</v>
      </c>
      <c r="F658" s="49">
        <f t="shared" si="1292"/>
        <v>84</v>
      </c>
      <c r="G658" s="49" t="str">
        <f t="shared" si="1292"/>
        <v>Private</v>
      </c>
      <c r="H658" s="49"/>
      <c r="I658" s="49" t="str">
        <f t="shared" ref="I658:J658" si="1293">I657</f>
        <v>73KW</v>
      </c>
      <c r="J658" s="49" t="str">
        <f t="shared" si="1293"/>
        <v>HT2A(II)</v>
      </c>
      <c r="K658" s="84">
        <f>HHDHT88!Q51</f>
        <v>165.1</v>
      </c>
      <c r="L658" s="84">
        <f>HHDHT88!P51</f>
        <v>169.2</v>
      </c>
      <c r="M658" s="84">
        <f t="shared" si="1244"/>
        <v>500</v>
      </c>
      <c r="N658" s="84">
        <f t="shared" si="1288"/>
        <v>2049.9999999999973</v>
      </c>
      <c r="O658" s="84">
        <f>HHDHT88!F51</f>
        <v>237.2</v>
      </c>
      <c r="P658" s="84">
        <f>HHDHT88!E51</f>
        <v>241.6</v>
      </c>
      <c r="Q658" s="84">
        <f t="shared" si="1245"/>
        <v>500</v>
      </c>
      <c r="R658" s="84">
        <f t="shared" si="1289"/>
        <v>2200.0000000000027</v>
      </c>
      <c r="S658" s="84">
        <f>HHDHT88!K51</f>
        <v>165.1</v>
      </c>
      <c r="T658" s="84">
        <f>HHDHT88!J51</f>
        <v>169.2</v>
      </c>
      <c r="U658" s="84">
        <f t="shared" si="1246"/>
        <v>500</v>
      </c>
      <c r="V658" s="84">
        <f t="shared" si="1290"/>
        <v>2049.9999999999973</v>
      </c>
      <c r="W658" s="84"/>
      <c r="X658" s="84"/>
      <c r="Y658" s="85">
        <f t="shared" si="1291"/>
        <v>0.93607305936072938</v>
      </c>
    </row>
    <row r="659" spans="1:25" hidden="1" x14ac:dyDescent="0.35">
      <c r="A659" s="49">
        <v>25</v>
      </c>
      <c r="B659" s="49" t="str">
        <f t="shared" si="1284"/>
        <v>Alanahalli</v>
      </c>
      <c r="C659" s="49" t="str">
        <f t="shared" si="1284"/>
        <v>Alanahalli/ 11H5</v>
      </c>
      <c r="D659" s="49" t="str">
        <f t="shared" si="1284"/>
        <v>KB Kashinath, Sapthagiri Farms,Alanahalli Village, HD Kote Tq.</v>
      </c>
      <c r="E659" s="49" t="str">
        <f t="shared" si="1284"/>
        <v>HHDHT88</v>
      </c>
      <c r="F659" s="49">
        <f t="shared" si="1284"/>
        <v>84</v>
      </c>
      <c r="G659" s="49" t="str">
        <f t="shared" si="1284"/>
        <v>Private</v>
      </c>
      <c r="H659" s="49"/>
      <c r="I659" s="49" t="str">
        <f t="shared" si="1285"/>
        <v>73KW</v>
      </c>
      <c r="J659" s="49" t="str">
        <f t="shared" si="1285"/>
        <v>HT2A(II)</v>
      </c>
      <c r="K659" s="84">
        <f>HHDHT88!Q52</f>
        <v>169.2</v>
      </c>
      <c r="L659" s="84">
        <f>HHDHT88!P52</f>
        <v>169.7</v>
      </c>
      <c r="M659" s="84">
        <f t="shared" si="1244"/>
        <v>500</v>
      </c>
      <c r="N659" s="84">
        <f t="shared" si="1288"/>
        <v>250</v>
      </c>
      <c r="O659" s="84">
        <f>HHDHT88!F52</f>
        <v>241.6</v>
      </c>
      <c r="P659" s="84">
        <f>HHDHT88!E52</f>
        <v>248.3</v>
      </c>
      <c r="Q659" s="84">
        <f t="shared" si="1245"/>
        <v>500</v>
      </c>
      <c r="R659" s="84">
        <f t="shared" si="1289"/>
        <v>3350.0000000000086</v>
      </c>
      <c r="S659" s="84">
        <f>HHDHT88!K52</f>
        <v>169.2</v>
      </c>
      <c r="T659" s="84">
        <f>HHDHT88!J52</f>
        <v>169.7</v>
      </c>
      <c r="U659" s="84">
        <f t="shared" si="1246"/>
        <v>500</v>
      </c>
      <c r="V659" s="84">
        <f t="shared" si="1290"/>
        <v>250</v>
      </c>
      <c r="W659" s="84"/>
      <c r="X659" s="84"/>
      <c r="Y659" s="85">
        <f t="shared" si="1291"/>
        <v>0.11415525114155251</v>
      </c>
    </row>
    <row r="660" spans="1:25" hidden="1" x14ac:dyDescent="0.35">
      <c r="A660" s="49">
        <v>26</v>
      </c>
      <c r="B660" s="49" t="str">
        <f t="shared" ref="B660:G660" si="1294">B659</f>
        <v>Alanahalli</v>
      </c>
      <c r="C660" s="49" t="str">
        <f t="shared" si="1294"/>
        <v>Alanahalli/ 11H5</v>
      </c>
      <c r="D660" s="49" t="str">
        <f t="shared" si="1294"/>
        <v>KB Kashinath, Sapthagiri Farms,Alanahalli Village, HD Kote Tq.</v>
      </c>
      <c r="E660" s="49" t="str">
        <f t="shared" si="1294"/>
        <v>HHDHT88</v>
      </c>
      <c r="F660" s="49">
        <f t="shared" si="1294"/>
        <v>84</v>
      </c>
      <c r="G660" s="49" t="str">
        <f t="shared" si="1294"/>
        <v>Private</v>
      </c>
      <c r="H660" s="49"/>
      <c r="I660" s="49" t="str">
        <f t="shared" ref="I660:J660" si="1295">I659</f>
        <v>73KW</v>
      </c>
      <c r="J660" s="49" t="str">
        <f t="shared" si="1295"/>
        <v>HT2A(II)</v>
      </c>
      <c r="K660" s="84">
        <f>HHDHT88!Q53</f>
        <v>169.7</v>
      </c>
      <c r="L660" s="84">
        <f>HHDHT88!P53</f>
        <v>170.3</v>
      </c>
      <c r="M660" s="84">
        <f t="shared" si="1244"/>
        <v>500</v>
      </c>
      <c r="N660" s="84">
        <f t="shared" ref="N660:N665" si="1296">(L660-K660)*M660</f>
        <v>300.00000000001137</v>
      </c>
      <c r="O660" s="84">
        <f>HHDHT88!F53</f>
        <v>248.3</v>
      </c>
      <c r="P660" s="84">
        <f>HHDHT88!E53</f>
        <v>257.89999999999998</v>
      </c>
      <c r="Q660" s="84">
        <f t="shared" si="1245"/>
        <v>500</v>
      </c>
      <c r="R660" s="84">
        <f t="shared" ref="R660:R665" si="1297">(P660-O660)*Q660</f>
        <v>4799.9999999999827</v>
      </c>
      <c r="S660" s="84">
        <f>HHDHT88!K53</f>
        <v>169.7</v>
      </c>
      <c r="T660" s="84">
        <f>HHDHT88!J53</f>
        <v>170.3</v>
      </c>
      <c r="U660" s="84">
        <f t="shared" si="1246"/>
        <v>500</v>
      </c>
      <c r="V660" s="84">
        <f t="shared" ref="V660:V665" si="1298">(T660-S660)*U660</f>
        <v>300.00000000001137</v>
      </c>
      <c r="W660" s="84"/>
      <c r="X660" s="84"/>
      <c r="Y660" s="85">
        <f t="shared" ref="Y660:Y665" si="1299">N660/73/30</f>
        <v>0.1369863013698682</v>
      </c>
    </row>
    <row r="661" spans="1:25" hidden="1" x14ac:dyDescent="0.35">
      <c r="A661" s="49">
        <v>27</v>
      </c>
      <c r="B661" s="49" t="str">
        <f t="shared" ref="B661:G661" si="1300">B660</f>
        <v>Alanahalli</v>
      </c>
      <c r="C661" s="49" t="str">
        <f t="shared" si="1300"/>
        <v>Alanahalli/ 11H5</v>
      </c>
      <c r="D661" s="49" t="str">
        <f t="shared" si="1300"/>
        <v>KB Kashinath, Sapthagiri Farms,Alanahalli Village, HD Kote Tq.</v>
      </c>
      <c r="E661" s="49" t="str">
        <f t="shared" si="1300"/>
        <v>HHDHT88</v>
      </c>
      <c r="F661" s="49">
        <f t="shared" si="1300"/>
        <v>84</v>
      </c>
      <c r="G661" s="49" t="str">
        <f t="shared" si="1300"/>
        <v>Private</v>
      </c>
      <c r="H661" s="49"/>
      <c r="I661" s="49" t="str">
        <f t="shared" ref="I661:J661" si="1301">I660</f>
        <v>73KW</v>
      </c>
      <c r="J661" s="49" t="str">
        <f t="shared" si="1301"/>
        <v>HT2A(II)</v>
      </c>
      <c r="K661" s="84">
        <f>HHDHT88!Q54</f>
        <v>170.3</v>
      </c>
      <c r="L661" s="84">
        <f>HHDHT88!P54</f>
        <v>171.9</v>
      </c>
      <c r="M661" s="84">
        <f t="shared" si="1244"/>
        <v>500</v>
      </c>
      <c r="N661" s="84">
        <f t="shared" si="1296"/>
        <v>799.99999999999716</v>
      </c>
      <c r="O661" s="84">
        <f>HHDHT88!F54</f>
        <v>257.89999999999998</v>
      </c>
      <c r="P661" s="84">
        <f>HHDHT88!E54</f>
        <v>263.8</v>
      </c>
      <c r="Q661" s="84">
        <f t="shared" si="1245"/>
        <v>500</v>
      </c>
      <c r="R661" s="84">
        <f t="shared" si="1297"/>
        <v>2950.0000000000173</v>
      </c>
      <c r="S661" s="84">
        <f>HHDHT88!K54</f>
        <v>170.3</v>
      </c>
      <c r="T661" s="84">
        <f>HHDHT88!J54</f>
        <v>171.9</v>
      </c>
      <c r="U661" s="84">
        <f t="shared" si="1246"/>
        <v>500</v>
      </c>
      <c r="V661" s="84">
        <f t="shared" si="1298"/>
        <v>799.99999999999716</v>
      </c>
      <c r="W661" s="84"/>
      <c r="X661" s="84"/>
      <c r="Y661" s="85">
        <f t="shared" si="1299"/>
        <v>0.36529680365296674</v>
      </c>
    </row>
    <row r="662" spans="1:25" hidden="1" x14ac:dyDescent="0.35">
      <c r="A662" s="49">
        <v>28</v>
      </c>
      <c r="B662" s="49" t="str">
        <f t="shared" ref="B662:G664" si="1302">B661</f>
        <v>Alanahalli</v>
      </c>
      <c r="C662" s="49" t="str">
        <f t="shared" si="1302"/>
        <v>Alanahalli/ 11H5</v>
      </c>
      <c r="D662" s="49" t="str">
        <f t="shared" si="1302"/>
        <v>KB Kashinath, Sapthagiri Farms,Alanahalli Village, HD Kote Tq.</v>
      </c>
      <c r="E662" s="49" t="str">
        <f t="shared" si="1302"/>
        <v>HHDHT88</v>
      </c>
      <c r="F662" s="49">
        <f t="shared" si="1302"/>
        <v>84</v>
      </c>
      <c r="G662" s="49" t="str">
        <f t="shared" si="1302"/>
        <v>Private</v>
      </c>
      <c r="H662" s="49"/>
      <c r="I662" s="49" t="str">
        <f t="shared" ref="I662:J664" si="1303">I661</f>
        <v>73KW</v>
      </c>
      <c r="J662" s="49" t="str">
        <f t="shared" si="1303"/>
        <v>HT2A(II)</v>
      </c>
      <c r="K662" s="84">
        <f>HHDHT88!Q55</f>
        <v>171.9</v>
      </c>
      <c r="L662" s="84">
        <f>HHDHT88!P55</f>
        <v>172.8</v>
      </c>
      <c r="M662" s="84">
        <f t="shared" si="1244"/>
        <v>500</v>
      </c>
      <c r="N662" s="84">
        <f t="shared" si="1296"/>
        <v>450.00000000000284</v>
      </c>
      <c r="O662" s="84">
        <f>HHDHT88!F55</f>
        <v>263.8</v>
      </c>
      <c r="P662" s="84">
        <f>HHDHT88!E55</f>
        <v>271.39999999999998</v>
      </c>
      <c r="Q662" s="84">
        <f t="shared" si="1245"/>
        <v>500</v>
      </c>
      <c r="R662" s="84">
        <f t="shared" si="1297"/>
        <v>3799.9999999999827</v>
      </c>
      <c r="S662" s="84">
        <f>HHDHT88!K55</f>
        <v>171.9</v>
      </c>
      <c r="T662" s="84">
        <f>HHDHT88!J55</f>
        <v>172.8</v>
      </c>
      <c r="U662" s="84">
        <f t="shared" si="1246"/>
        <v>500</v>
      </c>
      <c r="V662" s="84">
        <f t="shared" si="1298"/>
        <v>450.00000000000284</v>
      </c>
      <c r="W662" s="84">
        <f>HHDHT88!U55</f>
        <v>0.123</v>
      </c>
      <c r="X662" s="84">
        <f>HHDHT88!V55</f>
        <v>0.58699999999999997</v>
      </c>
      <c r="Y662" s="85">
        <f t="shared" si="1299"/>
        <v>0.20547945205479581</v>
      </c>
    </row>
    <row r="663" spans="1:25" hidden="1" x14ac:dyDescent="0.35">
      <c r="A663" s="49">
        <v>29</v>
      </c>
      <c r="B663" s="49" t="str">
        <f t="shared" ref="B663:G663" si="1304">B662</f>
        <v>Alanahalli</v>
      </c>
      <c r="C663" s="49" t="str">
        <f t="shared" si="1304"/>
        <v>Alanahalli/ 11H5</v>
      </c>
      <c r="D663" s="49" t="str">
        <f t="shared" si="1304"/>
        <v>KB Kashinath, Sapthagiri Farms,Alanahalli Village, HD Kote Tq.</v>
      </c>
      <c r="E663" s="49" t="str">
        <f t="shared" si="1304"/>
        <v>HHDHT88</v>
      </c>
      <c r="F663" s="49">
        <f t="shared" si="1304"/>
        <v>84</v>
      </c>
      <c r="G663" s="49" t="str">
        <f t="shared" si="1304"/>
        <v>Private</v>
      </c>
      <c r="H663" s="49"/>
      <c r="I663" s="49" t="str">
        <f t="shared" ref="I663:J663" si="1305">I662</f>
        <v>73KW</v>
      </c>
      <c r="J663" s="49" t="str">
        <f t="shared" si="1305"/>
        <v>HT2A(II)</v>
      </c>
      <c r="K663" s="84">
        <f>HHDHT88!Q56</f>
        <v>172.8</v>
      </c>
      <c r="L663" s="84">
        <f>HHDHT88!P56</f>
        <v>172.8</v>
      </c>
      <c r="M663" s="84">
        <f t="shared" si="1244"/>
        <v>500</v>
      </c>
      <c r="N663" s="84">
        <f t="shared" si="1296"/>
        <v>0</v>
      </c>
      <c r="O663" s="84">
        <f>HHDHT88!F56</f>
        <v>271.39999999999998</v>
      </c>
      <c r="P663" s="84">
        <f>HHDHT88!E56</f>
        <v>282.7</v>
      </c>
      <c r="Q663" s="84">
        <f t="shared" si="1245"/>
        <v>500</v>
      </c>
      <c r="R663" s="84">
        <f t="shared" si="1297"/>
        <v>5650.0000000000055</v>
      </c>
      <c r="S663" s="84">
        <f>HHDHT88!K56</f>
        <v>172.8</v>
      </c>
      <c r="T663" s="84">
        <f>HHDHT88!J56</f>
        <v>172.8</v>
      </c>
      <c r="U663" s="84">
        <f t="shared" si="1246"/>
        <v>500</v>
      </c>
      <c r="V663" s="84">
        <f t="shared" si="1298"/>
        <v>0</v>
      </c>
      <c r="W663" s="84">
        <f>HHDHT88!U56</f>
        <v>0.12</v>
      </c>
      <c r="X663" s="84">
        <f>HHDHT88!V56</f>
        <v>0.63100000000000001</v>
      </c>
      <c r="Y663" s="85">
        <f t="shared" si="1299"/>
        <v>0</v>
      </c>
    </row>
    <row r="664" spans="1:25" x14ac:dyDescent="0.35">
      <c r="A664" s="49">
        <v>30</v>
      </c>
      <c r="B664" s="49" t="str">
        <f t="shared" si="1302"/>
        <v>Alanahalli</v>
      </c>
      <c r="C664" s="49" t="str">
        <f t="shared" si="1302"/>
        <v>Alanahalli/ 11H5</v>
      </c>
      <c r="D664" s="49" t="str">
        <f t="shared" si="1302"/>
        <v>KB Kashinath, Sapthagiri Farms,Alanahalli Village, HD Kote Tq.</v>
      </c>
      <c r="E664" s="49" t="str">
        <f t="shared" si="1302"/>
        <v>HHDHT88</v>
      </c>
      <c r="F664" s="49">
        <f t="shared" si="1302"/>
        <v>84</v>
      </c>
      <c r="G664" s="49" t="str">
        <f t="shared" si="1302"/>
        <v>Private</v>
      </c>
      <c r="H664" s="49"/>
      <c r="I664" s="49" t="str">
        <f t="shared" si="1303"/>
        <v>73KW</v>
      </c>
      <c r="J664" s="49" t="str">
        <f t="shared" si="1303"/>
        <v>HT2A(II)</v>
      </c>
      <c r="K664" s="84">
        <f>HHDHT88!Q57</f>
        <v>172.8</v>
      </c>
      <c r="L664" s="84">
        <f>HHDHT88!P57</f>
        <v>172.8</v>
      </c>
      <c r="M664" s="84">
        <f t="shared" si="1244"/>
        <v>500</v>
      </c>
      <c r="N664" s="84">
        <f t="shared" ref="N664" si="1306">(L664-K664)*M664</f>
        <v>0</v>
      </c>
      <c r="O664" s="84">
        <f>HHDHT88!F57</f>
        <v>282.7</v>
      </c>
      <c r="P664" s="84">
        <f>HHDHT88!E57</f>
        <v>297.39999999999998</v>
      </c>
      <c r="Q664" s="84">
        <f t="shared" si="1245"/>
        <v>500</v>
      </c>
      <c r="R664" s="84">
        <f t="shared" ref="R664" si="1307">(P664-O664)*Q664</f>
        <v>7349.9999999999945</v>
      </c>
      <c r="S664" s="84">
        <f>HHDHT88!K57</f>
        <v>172.8</v>
      </c>
      <c r="T664" s="84">
        <f>HHDHT88!J57</f>
        <v>172.8</v>
      </c>
      <c r="U664" s="84">
        <f t="shared" si="1246"/>
        <v>500</v>
      </c>
      <c r="V664" s="84">
        <f t="shared" ref="V664" si="1308">(T664-S664)*U664</f>
        <v>0</v>
      </c>
      <c r="W664" s="84">
        <f>HHDHT88!U57</f>
        <v>0.13500000000000001</v>
      </c>
      <c r="X664" s="84">
        <f>HHDHT88!V57</f>
        <v>0.70899999999999996</v>
      </c>
      <c r="Y664" s="85">
        <f t="shared" si="1299"/>
        <v>0</v>
      </c>
    </row>
    <row r="665" spans="1:25" hidden="1" x14ac:dyDescent="0.35">
      <c r="A665" s="49">
        <v>31</v>
      </c>
      <c r="B665" s="49" t="str">
        <f t="shared" ref="B665:G665" si="1309">B664</f>
        <v>Alanahalli</v>
      </c>
      <c r="C665" s="49" t="str">
        <f t="shared" si="1309"/>
        <v>Alanahalli/ 11H5</v>
      </c>
      <c r="D665" s="49" t="str">
        <f t="shared" si="1309"/>
        <v>KB Kashinath, Sapthagiri Farms,Alanahalli Village, HD Kote Tq.</v>
      </c>
      <c r="E665" s="49" t="str">
        <f t="shared" si="1309"/>
        <v>HHDHT88</v>
      </c>
      <c r="F665" s="49">
        <f t="shared" si="1309"/>
        <v>84</v>
      </c>
      <c r="G665" s="49" t="str">
        <f t="shared" si="1309"/>
        <v>Private</v>
      </c>
      <c r="H665" s="49"/>
      <c r="I665" s="49" t="str">
        <f t="shared" ref="I665:J665" si="1310">I664</f>
        <v>73KW</v>
      </c>
      <c r="J665" s="49" t="str">
        <f t="shared" si="1310"/>
        <v>HT2A(II)</v>
      </c>
      <c r="K665" s="84">
        <f>HHDHT88!Q96</f>
        <v>0</v>
      </c>
      <c r="L665" s="84">
        <f>HHDHT88!P96</f>
        <v>0</v>
      </c>
      <c r="M665" s="84">
        <f t="shared" si="1244"/>
        <v>500</v>
      </c>
      <c r="N665" s="84">
        <f t="shared" si="1296"/>
        <v>0</v>
      </c>
      <c r="O665" s="84">
        <f>HHDHT88!F96</f>
        <v>0</v>
      </c>
      <c r="P665" s="84">
        <f>HHDHT88!E96</f>
        <v>0</v>
      </c>
      <c r="Q665" s="84">
        <f t="shared" si="1245"/>
        <v>500</v>
      </c>
      <c r="R665" s="84">
        <f t="shared" si="1297"/>
        <v>0</v>
      </c>
      <c r="S665" s="84">
        <f>HHDHT88!K96</f>
        <v>0</v>
      </c>
      <c r="T665" s="84">
        <f>HHDHT88!J96</f>
        <v>0</v>
      </c>
      <c r="U665" s="84">
        <f t="shared" si="1246"/>
        <v>500</v>
      </c>
      <c r="V665" s="84">
        <f t="shared" si="1298"/>
        <v>0</v>
      </c>
      <c r="W665" s="84"/>
      <c r="X665" s="84"/>
      <c r="Y665" s="85">
        <f t="shared" si="1299"/>
        <v>0</v>
      </c>
    </row>
    <row r="666" spans="1:25" x14ac:dyDescent="0.35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8"/>
    </row>
    <row r="667" spans="1:25" x14ac:dyDescent="0.35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8"/>
    </row>
    <row r="668" spans="1:25" x14ac:dyDescent="0.35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8"/>
    </row>
    <row r="669" spans="1:25" x14ac:dyDescent="0.35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8"/>
    </row>
    <row r="670" spans="1:25" ht="33" customHeight="1" x14ac:dyDescent="0.35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8"/>
    </row>
    <row r="671" spans="1:25" x14ac:dyDescent="0.35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8"/>
    </row>
  </sheetData>
  <autoFilter ref="A5:AB665">
    <filterColumn colId="0">
      <filters>
        <filter val="30"/>
      </filters>
    </filterColumn>
  </autoFilter>
  <mergeCells count="21">
    <mergeCell ref="P503:V503"/>
    <mergeCell ref="P504:V504"/>
    <mergeCell ref="P505:V505"/>
    <mergeCell ref="P506:V506"/>
    <mergeCell ref="Y4:Y5"/>
    <mergeCell ref="A1:Z1"/>
    <mergeCell ref="A2:Z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R4"/>
    <mergeCell ref="S4:V4"/>
    <mergeCell ref="Z4:Z5"/>
  </mergeCells>
  <pageMargins left="0" right="0" top="0.25" bottom="0.25" header="0.3" footer="0.3"/>
  <pageSetup scale="50" orientation="landscape" r:id="rId1"/>
  <colBreaks count="2" manualBreakCount="2">
    <brk id="24" max="666" man="1"/>
    <brk id="25" max="66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L13" sqref="L13"/>
    </sheetView>
  </sheetViews>
  <sheetFormatPr defaultRowHeight="15" x14ac:dyDescent="0.25"/>
  <cols>
    <col min="1" max="1" width="5.5703125" bestFit="1" customWidth="1"/>
    <col min="2" max="2" width="36.5703125" bestFit="1" customWidth="1"/>
    <col min="3" max="3" width="10.5703125" bestFit="1" customWidth="1"/>
    <col min="4" max="5" width="13.5703125" customWidth="1"/>
    <col min="6" max="7" width="8.7109375" customWidth="1"/>
    <col min="8" max="8" width="18.28515625" customWidth="1"/>
  </cols>
  <sheetData>
    <row r="1" spans="1:8" ht="18.75" x14ac:dyDescent="0.3">
      <c r="A1" s="190" t="s">
        <v>320</v>
      </c>
      <c r="B1" s="190"/>
      <c r="C1" s="190"/>
      <c r="D1" s="190"/>
      <c r="E1" s="190"/>
      <c r="F1" s="190"/>
      <c r="G1" s="190"/>
      <c r="H1" s="190"/>
    </row>
    <row r="2" spans="1:8" x14ac:dyDescent="0.25">
      <c r="A2" s="88" t="s">
        <v>205</v>
      </c>
      <c r="B2" s="88" t="s">
        <v>0</v>
      </c>
      <c r="C2" s="88" t="s">
        <v>5</v>
      </c>
      <c r="D2" s="88" t="s">
        <v>311</v>
      </c>
      <c r="E2" s="88" t="s">
        <v>312</v>
      </c>
      <c r="F2" s="88" t="s">
        <v>241</v>
      </c>
      <c r="G2" s="88" t="s">
        <v>242</v>
      </c>
      <c r="H2" s="88" t="s">
        <v>313</v>
      </c>
    </row>
    <row r="3" spans="1:8" ht="18.75" customHeight="1" x14ac:dyDescent="0.25">
      <c r="A3" s="88">
        <v>1</v>
      </c>
      <c r="B3" s="88" t="s">
        <v>38</v>
      </c>
      <c r="C3" s="88" t="s">
        <v>37</v>
      </c>
      <c r="D3" s="88">
        <v>11098.1</v>
      </c>
      <c r="E3" s="88"/>
      <c r="F3" s="88"/>
      <c r="G3" s="88"/>
      <c r="H3" s="88">
        <v>14223.3</v>
      </c>
    </row>
    <row r="4" spans="1:8" ht="18.75" customHeight="1" x14ac:dyDescent="0.25">
      <c r="A4" s="88">
        <v>2</v>
      </c>
      <c r="B4" s="88" t="s">
        <v>314</v>
      </c>
      <c r="C4" s="88" t="s">
        <v>127</v>
      </c>
      <c r="D4" s="88">
        <v>3260.4</v>
      </c>
      <c r="E4" s="88">
        <v>13175.7</v>
      </c>
      <c r="F4" s="88">
        <v>0.63</v>
      </c>
      <c r="G4" s="88">
        <v>0.95</v>
      </c>
      <c r="H4" s="88">
        <v>16011.9</v>
      </c>
    </row>
    <row r="5" spans="1:8" ht="18.75" customHeight="1" x14ac:dyDescent="0.25">
      <c r="A5" s="88">
        <v>3</v>
      </c>
      <c r="B5" s="88" t="s">
        <v>134</v>
      </c>
      <c r="C5" s="88" t="s">
        <v>129</v>
      </c>
      <c r="D5" s="88">
        <v>3831</v>
      </c>
      <c r="E5" s="88">
        <v>12899.2</v>
      </c>
      <c r="F5" s="88">
        <v>0.62</v>
      </c>
      <c r="G5" s="88">
        <v>0.98</v>
      </c>
      <c r="H5" s="88">
        <v>17266.099999999999</v>
      </c>
    </row>
    <row r="6" spans="1:8" ht="18.75" customHeight="1" x14ac:dyDescent="0.25">
      <c r="A6" s="88">
        <v>4</v>
      </c>
      <c r="B6" s="88" t="s">
        <v>42</v>
      </c>
      <c r="C6" s="88" t="s">
        <v>41</v>
      </c>
      <c r="D6" s="88">
        <v>7009.7</v>
      </c>
      <c r="E6" s="88">
        <v>21255.4</v>
      </c>
      <c r="F6" s="88"/>
      <c r="G6" s="88"/>
      <c r="H6" s="88">
        <v>24397.5</v>
      </c>
    </row>
    <row r="7" spans="1:8" ht="18.75" customHeight="1" x14ac:dyDescent="0.25">
      <c r="A7" s="88">
        <v>5</v>
      </c>
      <c r="B7" s="88" t="s">
        <v>148</v>
      </c>
      <c r="C7" s="88" t="s">
        <v>149</v>
      </c>
      <c r="D7" s="88">
        <v>5198.3</v>
      </c>
      <c r="E7" s="88">
        <v>5850.6</v>
      </c>
      <c r="F7" s="88">
        <v>0.91</v>
      </c>
      <c r="G7" s="88">
        <v>0.3</v>
      </c>
      <c r="H7" s="88">
        <v>12317.2</v>
      </c>
    </row>
    <row r="8" spans="1:8" ht="18.75" customHeight="1" x14ac:dyDescent="0.25">
      <c r="A8" s="88">
        <v>6</v>
      </c>
      <c r="B8" s="88" t="s">
        <v>137</v>
      </c>
      <c r="C8" s="88" t="s">
        <v>135</v>
      </c>
      <c r="D8" s="88">
        <v>23825.1</v>
      </c>
      <c r="E8" s="88">
        <v>1309.9000000000001</v>
      </c>
      <c r="F8" s="88">
        <v>2.5099999999999998</v>
      </c>
      <c r="G8" s="88">
        <v>0.55000000000000004</v>
      </c>
      <c r="H8" s="88">
        <v>13696.4</v>
      </c>
    </row>
    <row r="9" spans="1:8" ht="18.75" customHeight="1" x14ac:dyDescent="0.25">
      <c r="A9" s="88">
        <v>7</v>
      </c>
      <c r="B9" s="88" t="s">
        <v>315</v>
      </c>
      <c r="C9" s="88" t="s">
        <v>153</v>
      </c>
      <c r="D9" s="88">
        <v>10640.1</v>
      </c>
      <c r="E9" s="88">
        <v>2308.6</v>
      </c>
      <c r="F9" s="88">
        <v>1.66</v>
      </c>
      <c r="G9" s="88">
        <v>0.66</v>
      </c>
      <c r="H9" s="88" t="s">
        <v>317</v>
      </c>
    </row>
    <row r="10" spans="1:8" ht="18.75" customHeight="1" x14ac:dyDescent="0.25">
      <c r="A10" s="88">
        <v>8</v>
      </c>
      <c r="B10" s="88" t="s">
        <v>182</v>
      </c>
      <c r="C10" s="88" t="s">
        <v>186</v>
      </c>
      <c r="D10" s="88">
        <v>14572.3</v>
      </c>
      <c r="E10" s="88">
        <v>5274.2</v>
      </c>
      <c r="F10" s="88">
        <v>1.1599999999999999</v>
      </c>
      <c r="G10" s="88">
        <v>0.88</v>
      </c>
      <c r="H10" s="88">
        <v>37987.800000000003</v>
      </c>
    </row>
    <row r="11" spans="1:8" ht="18.75" customHeight="1" x14ac:dyDescent="0.25">
      <c r="A11" s="88">
        <v>9</v>
      </c>
      <c r="B11" s="88" t="s">
        <v>176</v>
      </c>
      <c r="C11" s="88" t="s">
        <v>173</v>
      </c>
      <c r="D11" s="88">
        <v>6814.4</v>
      </c>
      <c r="E11" s="88">
        <v>6251.6</v>
      </c>
      <c r="F11" s="88">
        <v>1.05</v>
      </c>
      <c r="G11" s="88">
        <v>0.52</v>
      </c>
      <c r="H11" s="88">
        <v>14940.3</v>
      </c>
    </row>
    <row r="12" spans="1:8" ht="18.75" customHeight="1" x14ac:dyDescent="0.25">
      <c r="A12" s="88">
        <v>10</v>
      </c>
      <c r="B12" s="88" t="s">
        <v>179</v>
      </c>
      <c r="C12" s="88" t="s">
        <v>180</v>
      </c>
      <c r="D12" s="88">
        <v>18264.900000000001</v>
      </c>
      <c r="E12" s="88">
        <v>8085.3</v>
      </c>
      <c r="F12" s="88">
        <v>4.82</v>
      </c>
      <c r="G12" s="88">
        <v>0.38</v>
      </c>
      <c r="H12" s="88">
        <v>15083.7</v>
      </c>
    </row>
    <row r="13" spans="1:8" ht="18.75" customHeight="1" x14ac:dyDescent="0.25">
      <c r="A13" s="88">
        <v>11</v>
      </c>
      <c r="B13" s="88" t="s">
        <v>45</v>
      </c>
      <c r="C13" s="88" t="s">
        <v>47</v>
      </c>
      <c r="D13" s="88">
        <v>25695.7</v>
      </c>
      <c r="E13" s="88">
        <v>13655.3</v>
      </c>
      <c r="F13" s="88"/>
      <c r="G13" s="88"/>
      <c r="H13" s="88">
        <v>34828.800000000003</v>
      </c>
    </row>
    <row r="14" spans="1:8" ht="18.75" customHeight="1" x14ac:dyDescent="0.25">
      <c r="A14" s="88">
        <v>12</v>
      </c>
      <c r="B14" s="88" t="s">
        <v>161</v>
      </c>
      <c r="C14" s="88" t="s">
        <v>163</v>
      </c>
      <c r="D14" s="88">
        <v>766.8</v>
      </c>
      <c r="E14" s="88">
        <v>9287.5</v>
      </c>
      <c r="F14" s="88">
        <v>0.04</v>
      </c>
      <c r="G14" s="88">
        <v>0.95</v>
      </c>
      <c r="H14" s="88" t="s">
        <v>317</v>
      </c>
    </row>
    <row r="15" spans="1:8" ht="18.75" customHeight="1" x14ac:dyDescent="0.25">
      <c r="A15" s="88">
        <v>13</v>
      </c>
      <c r="B15" s="88" t="s">
        <v>200</v>
      </c>
      <c r="C15" s="88" t="s">
        <v>157</v>
      </c>
      <c r="D15" s="88">
        <v>947.7</v>
      </c>
      <c r="E15" s="88">
        <v>3447.1</v>
      </c>
      <c r="F15" s="88">
        <v>1.6</v>
      </c>
      <c r="G15" s="88">
        <v>0.93</v>
      </c>
      <c r="H15" s="88" t="s">
        <v>318</v>
      </c>
    </row>
    <row r="16" spans="1:8" ht="18.75" customHeight="1" x14ac:dyDescent="0.25">
      <c r="A16" s="88">
        <v>14</v>
      </c>
      <c r="B16" s="88" t="s">
        <v>168</v>
      </c>
      <c r="C16" s="88" t="s">
        <v>167</v>
      </c>
      <c r="D16" s="88">
        <v>5190.5</v>
      </c>
      <c r="E16" s="88">
        <v>5873</v>
      </c>
      <c r="F16" s="88">
        <v>2.2400000000000002</v>
      </c>
      <c r="G16" s="88">
        <v>0.98</v>
      </c>
      <c r="H16" s="88">
        <v>10453.200000000001</v>
      </c>
    </row>
    <row r="17" spans="1:8" ht="18.75" customHeight="1" x14ac:dyDescent="0.25">
      <c r="A17" s="88">
        <v>15</v>
      </c>
      <c r="B17" s="88" t="s">
        <v>193</v>
      </c>
      <c r="C17" s="88" t="s">
        <v>192</v>
      </c>
      <c r="D17" s="88">
        <v>249.6</v>
      </c>
      <c r="E17" s="88">
        <v>2076.5</v>
      </c>
      <c r="F17" s="88">
        <v>1.82</v>
      </c>
      <c r="G17" s="171" t="s">
        <v>326</v>
      </c>
      <c r="H17" s="88">
        <v>2735.5</v>
      </c>
    </row>
    <row r="18" spans="1:8" ht="18.75" customHeight="1" x14ac:dyDescent="0.25">
      <c r="A18" s="88">
        <v>16</v>
      </c>
      <c r="B18" s="88" t="s">
        <v>189</v>
      </c>
      <c r="C18" s="88" t="s">
        <v>187</v>
      </c>
      <c r="D18" s="88">
        <v>152.5</v>
      </c>
      <c r="E18" s="88">
        <v>11125.5</v>
      </c>
      <c r="F18" s="88">
        <v>0.1</v>
      </c>
      <c r="G18" s="88">
        <v>0.98</v>
      </c>
      <c r="H18" s="88">
        <v>11241.7</v>
      </c>
    </row>
    <row r="19" spans="1:8" ht="18.75" customHeight="1" x14ac:dyDescent="0.25">
      <c r="A19" s="88">
        <v>17</v>
      </c>
      <c r="B19" s="88" t="s">
        <v>177</v>
      </c>
      <c r="C19" s="88" t="s">
        <v>202</v>
      </c>
      <c r="D19" s="88">
        <v>11315.3</v>
      </c>
      <c r="E19" s="88">
        <v>7012.3</v>
      </c>
      <c r="F19" s="88">
        <v>2.95</v>
      </c>
      <c r="G19" s="88">
        <v>0.99</v>
      </c>
      <c r="H19" s="88">
        <v>10675.4</v>
      </c>
    </row>
    <row r="20" spans="1:8" ht="18.75" customHeight="1" x14ac:dyDescent="0.25">
      <c r="A20" s="88">
        <v>18</v>
      </c>
      <c r="B20" s="88" t="s">
        <v>141</v>
      </c>
      <c r="C20" s="88" t="s">
        <v>140</v>
      </c>
      <c r="D20" s="88">
        <v>4806.3999999999996</v>
      </c>
      <c r="E20" s="88">
        <v>7267.1</v>
      </c>
      <c r="F20" s="88">
        <v>1.27</v>
      </c>
      <c r="G20" s="88">
        <v>0.92</v>
      </c>
      <c r="H20" s="88">
        <v>10433</v>
      </c>
    </row>
    <row r="21" spans="1:8" x14ac:dyDescent="0.25">
      <c r="A21" s="166">
        <v>19</v>
      </c>
      <c r="B21" s="88" t="s">
        <v>323</v>
      </c>
      <c r="C21" s="166" t="s">
        <v>322</v>
      </c>
      <c r="D21" s="8"/>
      <c r="E21" s="8"/>
      <c r="F21" s="8"/>
      <c r="G21" s="8"/>
      <c r="H21" s="8"/>
    </row>
    <row r="22" spans="1:8" ht="30" x14ac:dyDescent="0.25">
      <c r="A22" s="166">
        <v>20</v>
      </c>
      <c r="B22" s="6" t="s">
        <v>324</v>
      </c>
      <c r="C22" s="88" t="s">
        <v>50</v>
      </c>
      <c r="D22" s="8"/>
      <c r="E22" s="8"/>
      <c r="F22" s="8"/>
      <c r="G22" s="8"/>
      <c r="H22" s="8"/>
    </row>
    <row r="24" spans="1:8" ht="18.75" x14ac:dyDescent="0.3">
      <c r="A24" s="190" t="s">
        <v>328</v>
      </c>
      <c r="B24" s="190"/>
      <c r="C24" s="190"/>
      <c r="D24" s="190"/>
      <c r="E24" s="190"/>
      <c r="F24" s="190"/>
      <c r="G24" s="190"/>
      <c r="H24" s="190"/>
    </row>
    <row r="25" spans="1:8" x14ac:dyDescent="0.25">
      <c r="A25" s="88" t="s">
        <v>205</v>
      </c>
      <c r="B25" s="88" t="s">
        <v>0</v>
      </c>
      <c r="C25" s="88" t="s">
        <v>5</v>
      </c>
      <c r="D25" s="88" t="s">
        <v>311</v>
      </c>
      <c r="E25" s="88" t="s">
        <v>312</v>
      </c>
      <c r="F25" s="88" t="s">
        <v>241</v>
      </c>
      <c r="G25" s="88" t="s">
        <v>242</v>
      </c>
      <c r="H25" s="88" t="s">
        <v>313</v>
      </c>
    </row>
    <row r="26" spans="1:8" x14ac:dyDescent="0.25">
      <c r="A26" s="88">
        <v>1</v>
      </c>
      <c r="B26" s="88" t="s">
        <v>38</v>
      </c>
      <c r="C26" s="88" t="s">
        <v>37</v>
      </c>
      <c r="D26" s="88">
        <v>11298</v>
      </c>
      <c r="E26" s="88">
        <v>6872.7</v>
      </c>
      <c r="F26" s="88"/>
      <c r="G26" s="88"/>
      <c r="H26" s="88">
        <v>14404.1</v>
      </c>
    </row>
    <row r="27" spans="1:8" x14ac:dyDescent="0.25">
      <c r="A27" s="88">
        <v>2</v>
      </c>
      <c r="B27" s="88" t="s">
        <v>314</v>
      </c>
      <c r="C27" s="88" t="s">
        <v>127</v>
      </c>
      <c r="D27" s="88">
        <v>3353.5</v>
      </c>
      <c r="E27" s="88">
        <v>13354.9</v>
      </c>
      <c r="F27" s="88">
        <v>0.41</v>
      </c>
      <c r="G27" s="88">
        <v>0.95</v>
      </c>
      <c r="H27" s="88">
        <v>16253.6</v>
      </c>
    </row>
    <row r="28" spans="1:8" x14ac:dyDescent="0.25">
      <c r="A28" s="88">
        <v>3</v>
      </c>
      <c r="B28" s="88" t="s">
        <v>134</v>
      </c>
      <c r="C28" s="88" t="s">
        <v>129</v>
      </c>
      <c r="D28" s="88">
        <v>3923.6</v>
      </c>
      <c r="E28" s="88">
        <v>13135.1</v>
      </c>
      <c r="F28" s="88">
        <v>0.53</v>
      </c>
      <c r="G28" s="88">
        <v>0.99</v>
      </c>
      <c r="H28" s="88">
        <v>117577</v>
      </c>
    </row>
    <row r="29" spans="1:8" x14ac:dyDescent="0.25">
      <c r="A29" s="88">
        <v>4</v>
      </c>
      <c r="B29" s="88" t="s">
        <v>42</v>
      </c>
      <c r="C29" s="88" t="s">
        <v>41</v>
      </c>
      <c r="D29" s="88">
        <v>7116.6</v>
      </c>
      <c r="E29" s="88">
        <v>21255.4</v>
      </c>
      <c r="F29" s="88"/>
      <c r="G29" s="88"/>
      <c r="H29" s="88" t="s">
        <v>329</v>
      </c>
    </row>
    <row r="30" spans="1:8" x14ac:dyDescent="0.25">
      <c r="A30" s="88">
        <v>5</v>
      </c>
      <c r="B30" s="88" t="s">
        <v>148</v>
      </c>
      <c r="C30" s="88" t="s">
        <v>149</v>
      </c>
      <c r="D30" s="88">
        <v>5286.6</v>
      </c>
      <c r="E30" s="88">
        <v>5901</v>
      </c>
      <c r="F30" s="88">
        <v>1.81</v>
      </c>
      <c r="G30" s="88">
        <v>0.66</v>
      </c>
      <c r="H30" s="88">
        <v>12437.9</v>
      </c>
    </row>
    <row r="31" spans="1:8" x14ac:dyDescent="0.25">
      <c r="A31" s="88">
        <v>6</v>
      </c>
      <c r="B31" s="88" t="s">
        <v>137</v>
      </c>
      <c r="C31" s="88" t="s">
        <v>135</v>
      </c>
      <c r="D31" s="88">
        <v>24351.3</v>
      </c>
      <c r="E31" s="88">
        <v>1310</v>
      </c>
      <c r="F31" s="88">
        <v>1.65</v>
      </c>
      <c r="G31" s="88">
        <v>0.78</v>
      </c>
      <c r="H31" s="88">
        <v>13755.4</v>
      </c>
    </row>
    <row r="32" spans="1:8" x14ac:dyDescent="0.25">
      <c r="A32" s="88">
        <v>7</v>
      </c>
      <c r="B32" s="88" t="s">
        <v>315</v>
      </c>
      <c r="C32" s="88" t="s">
        <v>153</v>
      </c>
      <c r="D32" s="88">
        <v>11387.5</v>
      </c>
      <c r="E32" s="88">
        <v>2334</v>
      </c>
      <c r="F32" s="88">
        <v>2.41</v>
      </c>
      <c r="G32" s="88">
        <v>0.98</v>
      </c>
      <c r="H32" s="88" t="s">
        <v>317</v>
      </c>
    </row>
    <row r="33" spans="1:8" x14ac:dyDescent="0.25">
      <c r="A33" s="88">
        <v>8</v>
      </c>
      <c r="B33" s="88" t="s">
        <v>182</v>
      </c>
      <c r="C33" s="88" t="s">
        <v>186</v>
      </c>
      <c r="D33" s="88">
        <v>14826.5</v>
      </c>
      <c r="E33" s="88">
        <v>5311.2</v>
      </c>
      <c r="F33" s="88">
        <v>0.97</v>
      </c>
      <c r="G33" s="88">
        <v>0.77</v>
      </c>
      <c r="H33" s="88">
        <v>38079.9</v>
      </c>
    </row>
    <row r="34" spans="1:8" x14ac:dyDescent="0.25">
      <c r="A34" s="88">
        <v>9</v>
      </c>
      <c r="B34" s="88" t="s">
        <v>176</v>
      </c>
      <c r="C34" s="88" t="s">
        <v>173</v>
      </c>
      <c r="D34" s="88">
        <v>6359.6</v>
      </c>
      <c r="E34" s="88">
        <v>6362.3</v>
      </c>
      <c r="F34" s="88">
        <v>0.9</v>
      </c>
      <c r="G34" s="88">
        <v>0.98</v>
      </c>
      <c r="H34" s="88">
        <v>15165.5</v>
      </c>
    </row>
    <row r="35" spans="1:8" x14ac:dyDescent="0.25">
      <c r="A35" s="88">
        <v>10</v>
      </c>
      <c r="B35" s="88" t="s">
        <v>179</v>
      </c>
      <c r="C35" s="88" t="s">
        <v>180</v>
      </c>
      <c r="D35" s="88">
        <v>18990.099999999999</v>
      </c>
      <c r="E35" s="88">
        <v>8189.9</v>
      </c>
      <c r="F35" s="88">
        <v>4.57</v>
      </c>
      <c r="G35" s="88">
        <v>0.97</v>
      </c>
      <c r="H35" s="88">
        <v>15320.3</v>
      </c>
    </row>
    <row r="36" spans="1:8" x14ac:dyDescent="0.25">
      <c r="A36" s="88">
        <v>11</v>
      </c>
      <c r="B36" s="88" t="s">
        <v>45</v>
      </c>
      <c r="C36" s="88" t="s">
        <v>47</v>
      </c>
      <c r="D36" s="88">
        <v>26348.6</v>
      </c>
      <c r="E36" s="88">
        <v>13820.8</v>
      </c>
      <c r="F36" s="88"/>
      <c r="G36" s="88"/>
      <c r="H36" s="88">
        <v>35118</v>
      </c>
    </row>
    <row r="37" spans="1:8" x14ac:dyDescent="0.25">
      <c r="A37" s="88">
        <v>12</v>
      </c>
      <c r="B37" s="88" t="s">
        <v>161</v>
      </c>
      <c r="C37" s="88" t="s">
        <v>163</v>
      </c>
      <c r="D37" s="88">
        <v>783.3</v>
      </c>
      <c r="E37" s="88">
        <v>9452.1</v>
      </c>
      <c r="F37" s="88">
        <v>1.76</v>
      </c>
      <c r="G37" s="88">
        <v>0.99</v>
      </c>
      <c r="H37" s="88" t="s">
        <v>317</v>
      </c>
    </row>
    <row r="38" spans="1:8" x14ac:dyDescent="0.25">
      <c r="A38" s="88">
        <v>13</v>
      </c>
      <c r="B38" s="88" t="s">
        <v>200</v>
      </c>
      <c r="C38" s="88" t="s">
        <v>157</v>
      </c>
      <c r="D38" s="88">
        <v>979.1</v>
      </c>
      <c r="E38" s="88">
        <v>3447</v>
      </c>
      <c r="F38" s="88">
        <v>1.27</v>
      </c>
      <c r="G38" s="88">
        <v>0.84</v>
      </c>
      <c r="H38" s="88" t="s">
        <v>318</v>
      </c>
    </row>
    <row r="39" spans="1:8" x14ac:dyDescent="0.25">
      <c r="A39" s="88">
        <v>14</v>
      </c>
      <c r="B39" s="88" t="s">
        <v>168</v>
      </c>
      <c r="C39" s="88" t="s">
        <v>167</v>
      </c>
      <c r="D39" s="88">
        <v>5282.7</v>
      </c>
      <c r="E39" s="88">
        <v>5921.6</v>
      </c>
      <c r="F39" s="88">
        <v>1.78</v>
      </c>
      <c r="G39" s="88">
        <v>0.71</v>
      </c>
      <c r="H39" s="88">
        <v>1055.9000000000001</v>
      </c>
    </row>
    <row r="40" spans="1:8" x14ac:dyDescent="0.25">
      <c r="A40" s="88">
        <v>15</v>
      </c>
      <c r="B40" s="88" t="s">
        <v>193</v>
      </c>
      <c r="C40" s="88" t="s">
        <v>192</v>
      </c>
      <c r="D40" s="88">
        <v>254.8</v>
      </c>
      <c r="E40" s="88">
        <v>2099.3000000000002</v>
      </c>
      <c r="F40" s="88">
        <v>0.26</v>
      </c>
      <c r="G40" s="171">
        <v>0.78</v>
      </c>
      <c r="H40" s="88">
        <v>2763.3</v>
      </c>
    </row>
    <row r="41" spans="1:8" x14ac:dyDescent="0.25">
      <c r="A41" s="88">
        <v>16</v>
      </c>
      <c r="B41" s="88" t="s">
        <v>189</v>
      </c>
      <c r="C41" s="88" t="s">
        <v>187</v>
      </c>
      <c r="D41" s="88">
        <v>154.5</v>
      </c>
      <c r="E41" s="88">
        <v>11407.9</v>
      </c>
      <c r="F41" s="88">
        <v>1.74</v>
      </c>
      <c r="G41" s="88">
        <v>0.99</v>
      </c>
      <c r="H41" s="88">
        <v>11524</v>
      </c>
    </row>
    <row r="42" spans="1:8" x14ac:dyDescent="0.25">
      <c r="A42" s="88">
        <v>17</v>
      </c>
      <c r="B42" s="88" t="s">
        <v>177</v>
      </c>
      <c r="C42" s="88" t="s">
        <v>202</v>
      </c>
      <c r="D42" s="88">
        <v>11640.2</v>
      </c>
      <c r="E42" s="88">
        <v>7096.6</v>
      </c>
      <c r="F42" s="88">
        <v>2.52</v>
      </c>
      <c r="G42" s="88">
        <v>0.98</v>
      </c>
      <c r="H42" s="88">
        <v>10836.9</v>
      </c>
    </row>
    <row r="43" spans="1:8" x14ac:dyDescent="0.25">
      <c r="A43" s="88">
        <v>18</v>
      </c>
      <c r="B43" s="88" t="s">
        <v>141</v>
      </c>
      <c r="C43" s="88" t="s">
        <v>140</v>
      </c>
      <c r="D43" s="88">
        <v>4884.7</v>
      </c>
      <c r="E43" s="88">
        <v>7339.3</v>
      </c>
      <c r="F43" s="88">
        <v>1.52</v>
      </c>
      <c r="G43" s="88">
        <v>0.94</v>
      </c>
      <c r="H43" s="88">
        <v>10533</v>
      </c>
    </row>
    <row r="44" spans="1:8" x14ac:dyDescent="0.25">
      <c r="A44" s="166">
        <v>19</v>
      </c>
      <c r="B44" s="88" t="s">
        <v>323</v>
      </c>
      <c r="C44" s="166" t="s">
        <v>322</v>
      </c>
      <c r="D44" s="8"/>
      <c r="E44" s="8"/>
      <c r="F44" s="8"/>
      <c r="G44" s="8"/>
      <c r="H44" s="8"/>
    </row>
    <row r="45" spans="1:8" ht="30" x14ac:dyDescent="0.25">
      <c r="A45" s="166">
        <v>20</v>
      </c>
      <c r="B45" s="6" t="s">
        <v>324</v>
      </c>
      <c r="C45" s="88" t="s">
        <v>50</v>
      </c>
      <c r="D45" s="8">
        <v>433.5</v>
      </c>
      <c r="E45" s="8">
        <v>231.8</v>
      </c>
      <c r="F45" s="8">
        <v>0.12</v>
      </c>
      <c r="G45" s="8">
        <v>0.81</v>
      </c>
      <c r="H45" s="8"/>
    </row>
  </sheetData>
  <mergeCells count="2">
    <mergeCell ref="A1:H1"/>
    <mergeCell ref="A24:H24"/>
  </mergeCells>
  <conditionalFormatting sqref="C2:C21">
    <cfRule type="duplicateValues" dxfId="5" priority="7"/>
  </conditionalFormatting>
  <conditionalFormatting sqref="B3:B19">
    <cfRule type="duplicateValues" dxfId="4" priority="9"/>
  </conditionalFormatting>
  <conditionalFormatting sqref="B2:B20">
    <cfRule type="duplicateValues" dxfId="3" priority="11"/>
  </conditionalFormatting>
  <conditionalFormatting sqref="C25:C44">
    <cfRule type="duplicateValues" dxfId="2" priority="1"/>
  </conditionalFormatting>
  <conditionalFormatting sqref="B26:B42">
    <cfRule type="duplicateValues" dxfId="1" priority="2"/>
  </conditionalFormatting>
  <conditionalFormatting sqref="B25:B43">
    <cfRule type="duplicateValues" dxfId="0" priority="3"/>
  </conditionalFormatting>
  <pageMargins left="0.7" right="0.7" top="0.75" bottom="0.75" header="0.3" footer="0.3"/>
  <pageSetup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A13" workbookViewId="0">
      <selection activeCell="N31" sqref="N31"/>
    </sheetView>
  </sheetViews>
  <sheetFormatPr defaultRowHeight="15" x14ac:dyDescent="0.25"/>
  <sheetData>
    <row r="1" spans="1:22" ht="15.75" x14ac:dyDescent="0.25">
      <c r="A1" s="207" t="s">
        <v>11</v>
      </c>
      <c r="B1" s="201" t="s">
        <v>1</v>
      </c>
      <c r="C1" s="201" t="s">
        <v>12</v>
      </c>
      <c r="D1" s="200" t="s">
        <v>13</v>
      </c>
      <c r="E1" s="197" t="s">
        <v>14</v>
      </c>
      <c r="F1" s="198"/>
      <c r="G1" s="198"/>
      <c r="H1" s="198"/>
      <c r="I1" s="199"/>
      <c r="J1" s="197" t="s">
        <v>15</v>
      </c>
      <c r="K1" s="198"/>
      <c r="L1" s="198"/>
      <c r="M1" s="198"/>
      <c r="N1" s="199"/>
      <c r="O1" s="200" t="s">
        <v>16</v>
      </c>
      <c r="P1" s="197" t="s">
        <v>67</v>
      </c>
      <c r="Q1" s="198"/>
      <c r="R1" s="198"/>
      <c r="S1" s="198"/>
      <c r="T1" s="199"/>
      <c r="U1" s="201" t="s">
        <v>17</v>
      </c>
      <c r="V1" s="201" t="s">
        <v>17</v>
      </c>
    </row>
    <row r="2" spans="1:22" ht="63" x14ac:dyDescent="0.25">
      <c r="A2" s="207"/>
      <c r="B2" s="201"/>
      <c r="C2" s="201"/>
      <c r="D2" s="201"/>
      <c r="E2" s="162" t="s">
        <v>18</v>
      </c>
      <c r="F2" s="162" t="s">
        <v>19</v>
      </c>
      <c r="G2" s="162" t="s">
        <v>20</v>
      </c>
      <c r="H2" s="162" t="s">
        <v>3</v>
      </c>
      <c r="I2" s="162" t="s">
        <v>21</v>
      </c>
      <c r="J2" s="162" t="s">
        <v>18</v>
      </c>
      <c r="K2" s="162" t="s">
        <v>19</v>
      </c>
      <c r="L2" s="162" t="s">
        <v>20</v>
      </c>
      <c r="M2" s="162" t="s">
        <v>3</v>
      </c>
      <c r="N2" s="162" t="s">
        <v>22</v>
      </c>
      <c r="O2" s="201"/>
      <c r="P2" s="162" t="s">
        <v>18</v>
      </c>
      <c r="Q2" s="162" t="s">
        <v>19</v>
      </c>
      <c r="R2" s="162" t="s">
        <v>20</v>
      </c>
      <c r="S2" s="162" t="s">
        <v>3</v>
      </c>
      <c r="T2" s="162" t="s">
        <v>196</v>
      </c>
      <c r="U2" s="201"/>
      <c r="V2" s="201"/>
    </row>
    <row r="3" spans="1:22" x14ac:dyDescent="0.25">
      <c r="I3">
        <v>210.10000000000002</v>
      </c>
      <c r="N3">
        <v>1961</v>
      </c>
      <c r="O3">
        <v>1750.9</v>
      </c>
      <c r="T3">
        <v>2143.9000000000015</v>
      </c>
    </row>
    <row r="4" spans="1:22" x14ac:dyDescent="0.25">
      <c r="I4">
        <v>1664.6000000000004</v>
      </c>
      <c r="N4">
        <v>186.10000000000036</v>
      </c>
      <c r="O4">
        <v>-1478.5</v>
      </c>
      <c r="T4">
        <v>1149.1000000000004</v>
      </c>
    </row>
    <row r="5" spans="1:22" x14ac:dyDescent="0.25">
      <c r="I5">
        <v>1572.1999999999998</v>
      </c>
      <c r="N5">
        <v>710.60000000000218</v>
      </c>
      <c r="O5">
        <v>-861.59999999999764</v>
      </c>
      <c r="T5">
        <v>743.90000000000146</v>
      </c>
    </row>
    <row r="6" spans="1:22" x14ac:dyDescent="0.25">
      <c r="I6">
        <v>5378.9999999999964</v>
      </c>
      <c r="N6">
        <v>1146.0999999999985</v>
      </c>
      <c r="O6">
        <v>-4232.8999999999978</v>
      </c>
      <c r="T6">
        <v>2127.7999999999993</v>
      </c>
    </row>
    <row r="7" spans="1:22" x14ac:dyDescent="0.25">
      <c r="I7">
        <v>14849.999999999965</v>
      </c>
      <c r="N7">
        <v>9200.0000000000036</v>
      </c>
      <c r="O7">
        <v>-5649.9999999999636</v>
      </c>
      <c r="T7">
        <v>9200.0000000000036</v>
      </c>
    </row>
    <row r="8" spans="1:22" x14ac:dyDescent="0.25">
      <c r="I8">
        <v>726.19999999999982</v>
      </c>
      <c r="N8">
        <v>1611.0999999999985</v>
      </c>
      <c r="O8">
        <v>884.89999999999873</v>
      </c>
      <c r="T8">
        <v>2099.5</v>
      </c>
    </row>
    <row r="9" spans="1:22" x14ac:dyDescent="0.25">
      <c r="I9">
        <v>692.69999999999982</v>
      </c>
      <c r="N9">
        <v>2111.8999999999996</v>
      </c>
      <c r="O9">
        <v>1419.1999999999998</v>
      </c>
      <c r="T9">
        <v>2711.7999999999993</v>
      </c>
    </row>
    <row r="10" spans="1:22" x14ac:dyDescent="0.25">
      <c r="I10">
        <v>3655</v>
      </c>
      <c r="N10">
        <v>92.099999999999909</v>
      </c>
      <c r="O10">
        <v>-3562.8999999999996</v>
      </c>
      <c r="T10">
        <v>1235.1000000000004</v>
      </c>
    </row>
    <row r="11" spans="1:22" x14ac:dyDescent="0.25">
      <c r="I11">
        <v>588.89999999999964</v>
      </c>
      <c r="N11">
        <v>1410.5</v>
      </c>
      <c r="O11">
        <v>821.60000000000036</v>
      </c>
      <c r="T11">
        <v>1632</v>
      </c>
    </row>
    <row r="12" spans="1:22" x14ac:dyDescent="0.25">
      <c r="I12">
        <v>639.10000000000036</v>
      </c>
      <c r="N12">
        <v>856.20000000000073</v>
      </c>
      <c r="O12">
        <v>217.10000000000036</v>
      </c>
      <c r="T12">
        <v>1639.8999999999996</v>
      </c>
    </row>
    <row r="13" spans="1:22" x14ac:dyDescent="0.25">
      <c r="I13">
        <v>1795.2000000000007</v>
      </c>
      <c r="N13">
        <v>30.900000000000091</v>
      </c>
      <c r="O13">
        <v>-1764.3000000000006</v>
      </c>
      <c r="T13">
        <v>0</v>
      </c>
    </row>
    <row r="14" spans="1:22" x14ac:dyDescent="0.25">
      <c r="I14">
        <v>268.69999999999993</v>
      </c>
      <c r="N14">
        <v>0</v>
      </c>
      <c r="O14">
        <v>0</v>
      </c>
      <c r="T14">
        <v>0</v>
      </c>
    </row>
    <row r="15" spans="1:22" x14ac:dyDescent="0.25">
      <c r="I15">
        <v>113.30000000000007</v>
      </c>
      <c r="N15">
        <v>1589.3000000000002</v>
      </c>
      <c r="O15">
        <v>1476</v>
      </c>
      <c r="T15">
        <v>0</v>
      </c>
    </row>
    <row r="16" spans="1:22" x14ac:dyDescent="0.25">
      <c r="I16">
        <v>739.5</v>
      </c>
      <c r="N16">
        <v>875.89999999999964</v>
      </c>
      <c r="O16">
        <v>136.39999999999964</v>
      </c>
      <c r="T16">
        <v>1235.2000000000025</v>
      </c>
    </row>
    <row r="17" spans="1:20" x14ac:dyDescent="0.25">
      <c r="I17">
        <v>3178.1999999999989</v>
      </c>
      <c r="N17">
        <v>1669.0999999999995</v>
      </c>
      <c r="O17">
        <v>-1509.0999999999995</v>
      </c>
      <c r="T17">
        <v>2703.9000000000015</v>
      </c>
    </row>
    <row r="18" spans="1:20" x14ac:dyDescent="0.25">
      <c r="I18">
        <v>933.60000000000127</v>
      </c>
      <c r="N18">
        <v>946.60000000000036</v>
      </c>
      <c r="O18">
        <v>12.999999999999091</v>
      </c>
      <c r="T18">
        <v>1869.3000000000011</v>
      </c>
    </row>
    <row r="19" spans="1:20" x14ac:dyDescent="0.25">
      <c r="I19">
        <v>4189.5</v>
      </c>
      <c r="N19">
        <v>1077.4999999999991</v>
      </c>
      <c r="O19">
        <v>-3112.0000000000009</v>
      </c>
      <c r="T19">
        <v>2342.2000000000007</v>
      </c>
    </row>
    <row r="20" spans="1:20" x14ac:dyDescent="0.25">
      <c r="I20">
        <v>2009.1999999999989</v>
      </c>
      <c r="N20">
        <v>1239.1999999999998</v>
      </c>
      <c r="O20">
        <v>-769.99999999999909</v>
      </c>
      <c r="T20">
        <v>1875.3000000000102</v>
      </c>
    </row>
    <row r="21" spans="1:20" x14ac:dyDescent="0.25">
      <c r="I21">
        <v>21.69999999999996</v>
      </c>
      <c r="N21">
        <v>699.19999999999527</v>
      </c>
      <c r="O21">
        <v>677.49999999999534</v>
      </c>
      <c r="T21">
        <v>706.89999999999964</v>
      </c>
    </row>
    <row r="22" spans="1:20" x14ac:dyDescent="0.25">
      <c r="I22">
        <v>33.699999999999989</v>
      </c>
      <c r="N22">
        <v>242.30000000000018</v>
      </c>
      <c r="O22">
        <v>208.60000000000019</v>
      </c>
      <c r="T22">
        <v>276.09999999999991</v>
      </c>
    </row>
    <row r="23" spans="1:20" x14ac:dyDescent="0.25">
      <c r="A23" t="s">
        <v>325</v>
      </c>
      <c r="I23">
        <f>SUM(I3:I22)</f>
        <v>43260.399999999943</v>
      </c>
      <c r="N23">
        <f>SUM(N3:N22)</f>
        <v>27655.599999999995</v>
      </c>
      <c r="O23">
        <f>SUM(O3:O22)</f>
        <v>-15336.099999999966</v>
      </c>
      <c r="T23">
        <f>SUM(T3:T22)</f>
        <v>35691.900000000031</v>
      </c>
    </row>
  </sheetData>
  <mergeCells count="10">
    <mergeCell ref="O1:O2"/>
    <mergeCell ref="P1:T1"/>
    <mergeCell ref="U1:U2"/>
    <mergeCell ref="V1:V2"/>
    <mergeCell ref="A1:A2"/>
    <mergeCell ref="B1:B2"/>
    <mergeCell ref="C1:C2"/>
    <mergeCell ref="D1:D2"/>
    <mergeCell ref="E1:I1"/>
    <mergeCell ref="J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18</vt:i4>
      </vt:variant>
    </vt:vector>
  </HeadingPairs>
  <TitlesOfParts>
    <vt:vector size="43" baseType="lpstr">
      <vt:lpstr>H.D KOTE</vt:lpstr>
      <vt:lpstr>MHQ06</vt:lpstr>
      <vt:lpstr>HKQ1</vt:lpstr>
      <vt:lpstr>HDTL56522</vt:lpstr>
      <vt:lpstr>HDTL60092</vt:lpstr>
      <vt:lpstr>HHDHT88</vt:lpstr>
      <vt:lpstr>HKQ7</vt:lpstr>
      <vt:lpstr>HAEH224</vt:lpstr>
      <vt:lpstr>HKL546</vt:lpstr>
      <vt:lpstr>HDTCL2809</vt:lpstr>
      <vt:lpstr>HKL263</vt:lpstr>
      <vt:lpstr>HKL351</vt:lpstr>
      <vt:lpstr>HKL373</vt:lpstr>
      <vt:lpstr>HKL77</vt:lpstr>
      <vt:lpstr>HKL279</vt:lpstr>
      <vt:lpstr>HDTL60474</vt:lpstr>
      <vt:lpstr>HKL2180</vt:lpstr>
      <vt:lpstr>HKAEH5</vt:lpstr>
      <vt:lpstr>HKL891</vt:lpstr>
      <vt:lpstr>HKL1720</vt:lpstr>
      <vt:lpstr>HDTL31052</vt:lpstr>
      <vt:lpstr>Sheet1</vt:lpstr>
      <vt:lpstr>Sheet1 (2)</vt:lpstr>
      <vt:lpstr>Reading</vt:lpstr>
      <vt:lpstr>May to Nov</vt:lpstr>
      <vt:lpstr>HAEH224!Print_Area</vt:lpstr>
      <vt:lpstr>HDTCL2809!Print_Area</vt:lpstr>
      <vt:lpstr>HDTL31052!Print_Area</vt:lpstr>
      <vt:lpstr>HDTL60474!Print_Area</vt:lpstr>
      <vt:lpstr>HHDHT88!Print_Area</vt:lpstr>
      <vt:lpstr>HKAEH5!Print_Area</vt:lpstr>
      <vt:lpstr>'HKL1720'!Print_Area</vt:lpstr>
      <vt:lpstr>'HKL2180'!Print_Area</vt:lpstr>
      <vt:lpstr>'HKL263'!Print_Area</vt:lpstr>
      <vt:lpstr>'HKL279'!Print_Area</vt:lpstr>
      <vt:lpstr>'HKL351'!Print_Area</vt:lpstr>
      <vt:lpstr>'HKL373'!Print_Area</vt:lpstr>
      <vt:lpstr>'HKL546'!Print_Area</vt:lpstr>
      <vt:lpstr>'HKL77'!Print_Area</vt:lpstr>
      <vt:lpstr>'HKL891'!Print_Area</vt:lpstr>
      <vt:lpstr>'HKQ7'!Print_Area</vt:lpstr>
      <vt:lpstr>Sheet1!Print_Area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2024-03-05T07:30:58Z</dcterms:modified>
</cp:coreProperties>
</file>